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55" windowHeight="3105" tabRatio="643" activeTab="0"/>
  </bookViews>
  <sheets>
    <sheet name="Financial Statement 201314" sheetId="1" r:id="rId1"/>
    <sheet name="BC Costs 201314" sheetId="2" r:id="rId2"/>
    <sheet name="Income" sheetId="3" r:id="rId3"/>
    <sheet name="Costs Apportionment 201314" sheetId="4" r:id="rId4"/>
    <sheet name="surplus costs 201314" sheetId="5" r:id="rId5"/>
  </sheets>
  <externalReferences>
    <externalReference r:id="rId8"/>
    <externalReference r:id="rId9"/>
  </externalReferences>
  <definedNames>
    <definedName name="_xlnm._FilterDatabase" localSheetId="2" hidden="1">'Income'!$A$2:$C$14</definedName>
  </definedNames>
  <calcPr fullCalcOnLoad="1"/>
</workbook>
</file>

<file path=xl/sharedStrings.xml><?xml version="1.0" encoding="utf-8"?>
<sst xmlns="http://schemas.openxmlformats.org/spreadsheetml/2006/main" count="249" uniqueCount="206">
  <si>
    <t>Corporate</t>
  </si>
  <si>
    <t>Land</t>
  </si>
  <si>
    <t xml:space="preserve">Member </t>
  </si>
  <si>
    <t>Environmental</t>
  </si>
  <si>
    <t>Emergency</t>
  </si>
  <si>
    <t>Planning</t>
  </si>
  <si>
    <t>Policy</t>
  </si>
  <si>
    <t xml:space="preserve">Leisure </t>
  </si>
  <si>
    <t>Development</t>
  </si>
  <si>
    <t>Sport &amp;</t>
  </si>
  <si>
    <t>Engineering</t>
  </si>
  <si>
    <t>Mgmt.</t>
  </si>
  <si>
    <t>Charges</t>
  </si>
  <si>
    <t>Services</t>
  </si>
  <si>
    <t>Strategy</t>
  </si>
  <si>
    <t>Control</t>
  </si>
  <si>
    <t>Health</t>
  </si>
  <si>
    <t>Recreation</t>
  </si>
  <si>
    <t>Design</t>
  </si>
  <si>
    <t>JOB TITLE</t>
  </si>
  <si>
    <t>T610570</t>
  </si>
  <si>
    <t>T510430</t>
  </si>
  <si>
    <t>T420361</t>
  </si>
  <si>
    <t>D410001</t>
  </si>
  <si>
    <t>% TOTAL</t>
  </si>
  <si>
    <t>Building Control</t>
  </si>
  <si>
    <t>Service Delivery and Support</t>
  </si>
  <si>
    <t>Area Building Control Surveyor</t>
  </si>
  <si>
    <t>TOTAL</t>
  </si>
  <si>
    <t>COST CENTRE NET EXP.</t>
  </si>
  <si>
    <t>Planning Services</t>
  </si>
  <si>
    <t>441047*</t>
  </si>
  <si>
    <t>Building Con</t>
  </si>
  <si>
    <t>FE Client</t>
  </si>
  <si>
    <t>Non FE Client</t>
  </si>
  <si>
    <t xml:space="preserve">Disabled </t>
  </si>
  <si>
    <t>Access</t>
  </si>
  <si>
    <t>Principal Building Control Surveyor</t>
  </si>
  <si>
    <t>straight to 1254</t>
  </si>
  <si>
    <t>BC Mgmt &amp; AdminSalaries Gross</t>
  </si>
  <si>
    <t>BC Mgmt &amp; AdminSals NI</t>
  </si>
  <si>
    <t>BC Mgmt &amp; AdminSals Superann</t>
  </si>
  <si>
    <t>BC Mgmt &amp; AdminWages Agency St</t>
  </si>
  <si>
    <t>BC Mgmt &amp; AdminProfess Fees</t>
  </si>
  <si>
    <t>BC Mgmt &amp; AdminEmpl Insur Prem</t>
  </si>
  <si>
    <t>BC Mgmt &amp; AdminCar Leasing</t>
  </si>
  <si>
    <t>BC Mgmt &amp; AdminCar Allowances</t>
  </si>
  <si>
    <t>BC Mgmt &amp; AdminExt Telephones</t>
  </si>
  <si>
    <t>BC Mgmt &amp; AdminInt Telephones</t>
  </si>
  <si>
    <t>BC Mgmt &amp; AdminMisc Ins Prem</t>
  </si>
  <si>
    <t>BC Mgmt &amp; AdminPayroll</t>
  </si>
  <si>
    <t>BC Mgmt &amp; AdminComp Servs CL</t>
  </si>
  <si>
    <t>BC Mgmt &amp; AdminOffice Accom</t>
  </si>
  <si>
    <t>BC Mgmt &amp; AdminFin Servs BU</t>
  </si>
  <si>
    <t>BC Fee Earning Consultants</t>
  </si>
  <si>
    <t>4410476</t>
  </si>
  <si>
    <t>4410477</t>
  </si>
  <si>
    <t>4410478</t>
  </si>
  <si>
    <t>check</t>
  </si>
  <si>
    <t>sb zero</t>
  </si>
  <si>
    <t xml:space="preserve">Hsg </t>
  </si>
  <si>
    <t>BC Mgmt &amp; AdminInformation Uni</t>
  </si>
  <si>
    <t>from est bk</t>
  </si>
  <si>
    <t>Assistant Building Control Officer</t>
  </si>
  <si>
    <t>SSC</t>
  </si>
  <si>
    <t>1260 003</t>
  </si>
  <si>
    <t>1184 000</t>
  </si>
  <si>
    <t>BC Mgmt &amp; AdminSals Overtime</t>
  </si>
  <si>
    <t>BC Mgmt &amp; AdminTraining</t>
  </si>
  <si>
    <t>sensitivity analysis</t>
  </si>
  <si>
    <t>change projected income to see impact on surplus loss</t>
  </si>
  <si>
    <t>Direct  fee earning related costs</t>
  </si>
  <si>
    <t>Apportioned fee earning costs</t>
  </si>
  <si>
    <t>Total</t>
  </si>
  <si>
    <t>projected income</t>
  </si>
  <si>
    <r>
      <t>Surplus</t>
    </r>
    <r>
      <rPr>
        <sz val="10"/>
        <color indexed="10"/>
        <rFont val="Arial"/>
        <family val="2"/>
      </rPr>
      <t xml:space="preserve"> Loss</t>
    </r>
  </si>
  <si>
    <t>projects</t>
  </si>
  <si>
    <t>Name</t>
  </si>
  <si>
    <t>Plan</t>
  </si>
  <si>
    <t>1254002</t>
  </si>
  <si>
    <t>Licensing</t>
  </si>
  <si>
    <t xml:space="preserve">Arms length </t>
  </si>
  <si>
    <t>trading</t>
  </si>
  <si>
    <t>A2S IT dev</t>
  </si>
  <si>
    <t>Environmntl</t>
  </si>
  <si>
    <t>Dev</t>
  </si>
  <si>
    <t>FLYNN</t>
  </si>
  <si>
    <t>WOODLAND</t>
  </si>
  <si>
    <t>JAMESON</t>
  </si>
  <si>
    <t>BC Mgmt &amp; AdminHealth Care</t>
  </si>
  <si>
    <t>BC Mgmt &amp; AdminF&amp;R MSU</t>
  </si>
  <si>
    <t>BC Mgmt &amp; AdminCareline</t>
  </si>
  <si>
    <t>Assistant Building Control Surveyor</t>
  </si>
  <si>
    <t>BC Mgmt &amp; AdminCouncil Transpo</t>
  </si>
  <si>
    <t>BC Mgmt &amp; AdminCustomer Servs</t>
  </si>
  <si>
    <t>BC Mgmt &amp; AdminL&amp;D</t>
  </si>
  <si>
    <t>licensing</t>
  </si>
  <si>
    <t>1263002</t>
  </si>
  <si>
    <t>General Ledger Codes</t>
  </si>
  <si>
    <t>Code Description</t>
  </si>
  <si>
    <t>Building Cntrl Bldg Control</t>
  </si>
  <si>
    <t>Building Cntrl Earmarked Res.</t>
  </si>
  <si>
    <t>Building Cntrl Fin Servs BU</t>
  </si>
  <si>
    <t>Building Cntrl Misc Sales</t>
  </si>
  <si>
    <t>Building Cntrl Internal Servs</t>
  </si>
  <si>
    <t>BC Mgmt &amp; AdminDev Control</t>
  </si>
  <si>
    <t>BC Mgmt &amp; AdminLearning&amp;Dev</t>
  </si>
  <si>
    <t>BC Mgmt &amp; AdminMFD recharge</t>
  </si>
  <si>
    <t>Building Cntrl PHE Dir Mgnt</t>
  </si>
  <si>
    <t>HORSMAN</t>
  </si>
  <si>
    <t>£</t>
  </si>
  <si>
    <t>Employee Expenses</t>
  </si>
  <si>
    <t>Indirect Employee Expenses</t>
  </si>
  <si>
    <t>Premises</t>
  </si>
  <si>
    <t>Transport</t>
  </si>
  <si>
    <t>Supplies &amp; Services</t>
  </si>
  <si>
    <t>Total Expenditure</t>
  </si>
  <si>
    <t>Total Income</t>
  </si>
  <si>
    <t>Building Cntrl Public Relation</t>
  </si>
  <si>
    <t>BC Mgmt &amp; AdminMFD Click chgs</t>
  </si>
  <si>
    <t>BC Mgmt &amp; AdminEmployee Relati</t>
  </si>
  <si>
    <t>BC Mgmt &amp; AdminPlan Tech suprt</t>
  </si>
  <si>
    <t>BC Mgmt &amp; AdminIT Maint &amp; Supp</t>
  </si>
  <si>
    <t>BC Fee Earning Sals Overtime</t>
  </si>
  <si>
    <t>BC Fee Earning Conts to LA's</t>
  </si>
  <si>
    <t>Third Party Payments</t>
  </si>
  <si>
    <t>Miscellaneous Income</t>
  </si>
  <si>
    <t>1263 001</t>
  </si>
  <si>
    <t>Salary</t>
  </si>
  <si>
    <t>Other BC</t>
  </si>
  <si>
    <t>Non Fee</t>
  </si>
  <si>
    <t>Technician</t>
  </si>
  <si>
    <t>Total Income/Cost Position</t>
  </si>
  <si>
    <t>Depreciation and Impairment Losses</t>
  </si>
  <si>
    <t>Capital Financing Costs (notional interest)</t>
  </si>
  <si>
    <t>Income</t>
  </si>
  <si>
    <t>Expenditure</t>
  </si>
  <si>
    <t xml:space="preserve">Surplus/(Deficit) </t>
  </si>
  <si>
    <t>Support Services</t>
  </si>
  <si>
    <t>Building Regulations Charges</t>
  </si>
  <si>
    <t xml:space="preserve">Chargeable </t>
  </si>
  <si>
    <t>Non - Chargeable</t>
  </si>
  <si>
    <t>Total Building Regulations</t>
  </si>
  <si>
    <t xml:space="preserve">  Details of NHDC Building Control Services fee and charges are avalible on the website.</t>
  </si>
  <si>
    <t>Approved by S151 Officer</t>
  </si>
  <si>
    <t>Norma Atlay</t>
  </si>
  <si>
    <t>Signature:</t>
  </si>
  <si>
    <t>VACANT</t>
  </si>
  <si>
    <t>BC Mgmt &amp; AdminStaff Parking</t>
  </si>
  <si>
    <t>BC Mgmt &amp; AdminProtective Clot</t>
  </si>
  <si>
    <t>BC Mgmt &amp; AdminDMS Scanning</t>
  </si>
  <si>
    <t>Total Building Control Expenditure</t>
  </si>
  <si>
    <t>Surplus in 2011/12</t>
  </si>
  <si>
    <t xml:space="preserve">Other Building Control Expenditure </t>
  </si>
  <si>
    <t>BC Mgmt &amp; AdminMicrofilming</t>
  </si>
  <si>
    <t>BC Mgmt &amp; AdminDocument Centre</t>
  </si>
  <si>
    <t>BC Fee Earning Text Books</t>
  </si>
  <si>
    <t>BC Fee Earning Fin Servs BU</t>
  </si>
  <si>
    <t>Fee and Non Fee</t>
  </si>
  <si>
    <t>Direct Employee Expenditure</t>
  </si>
  <si>
    <t>Supplies and Services</t>
  </si>
  <si>
    <t>Total Fee and Non Fee Expenditure</t>
  </si>
  <si>
    <t>Fee Earning</t>
  </si>
  <si>
    <t>Total Fee Earning Expenditure</t>
  </si>
  <si>
    <t>Non Fee Earning</t>
  </si>
  <si>
    <t>Total Non Fee Expenditure</t>
  </si>
  <si>
    <t>Building Cntrl Legal Fees</t>
  </si>
  <si>
    <t>Building Cntrl Regularisations</t>
  </si>
  <si>
    <t>Building Cntrl Other income</t>
  </si>
  <si>
    <t>CLIFTON</t>
  </si>
  <si>
    <t>Surplus in 2012/13</t>
  </si>
  <si>
    <t>Working Paper Prepared by</t>
  </si>
  <si>
    <t>J Penfold</t>
  </si>
  <si>
    <t>Date</t>
  </si>
  <si>
    <t xml:space="preserve"> Building Control Financial Statement - building regulations chargeable and non-chargeable account 2013/14</t>
  </si>
  <si>
    <t>1st April 2013 - 31st March 2014 Financial Statement</t>
  </si>
  <si>
    <t>April 13 - March 14</t>
  </si>
  <si>
    <t>Actuals 1314</t>
  </si>
  <si>
    <t>BC Mgmt &amp; AdminTravel Expenses</t>
  </si>
  <si>
    <t>BC Mgmt &amp; AdminEquipment Pur</t>
  </si>
  <si>
    <t>BC Mgmt &amp; AdminChief Executive</t>
  </si>
  <si>
    <t>BC Fee Earning Printing</t>
  </si>
  <si>
    <t>BC Fee Earning Advertising</t>
  </si>
  <si>
    <t>BC Fee Earning Subscriptions</t>
  </si>
  <si>
    <t>BC Fee Earning Postage</t>
  </si>
  <si>
    <t>Non Fee Earning Health Care</t>
  </si>
  <si>
    <t>Non Fee EarningMiscellaneous</t>
  </si>
  <si>
    <t>Non Fee Earning Employee Relati</t>
  </si>
  <si>
    <t>Non Fee Earning Payroll</t>
  </si>
  <si>
    <t>Non Fee Earning Training</t>
  </si>
  <si>
    <t>Non Fee Earning L&amp;D</t>
  </si>
  <si>
    <t>Non Fee Earning Office Accom</t>
  </si>
  <si>
    <t>2013/14 Expenditure</t>
  </si>
  <si>
    <t>Building Cntrl Miscellaneous</t>
  </si>
  <si>
    <t>Building Cntrl Conts to LA's</t>
  </si>
  <si>
    <t>estimate 2012/13</t>
  </si>
  <si>
    <t>calculation of surplus/Deficit from 01/04/13-31/03/14</t>
  </si>
  <si>
    <t>Target income</t>
  </si>
  <si>
    <t>Indirect Employee Expenditure</t>
  </si>
  <si>
    <t>Deficit in 2013/14</t>
  </si>
  <si>
    <t>B/F in reserve 2013/14</t>
  </si>
  <si>
    <t>Reserve has now gone, borrowed £26,475 from General Fund.</t>
  </si>
  <si>
    <t>Surplus/(Deficit) for 2013/14</t>
  </si>
  <si>
    <t>C/F to 2014/15</t>
  </si>
  <si>
    <t xml:space="preserve">To avoid a further deficit position in 2014/15, we have reduced expenditure.  Two posts have been frozen for one year which has generated a reduction in spend of £109,010.  </t>
  </si>
  <si>
    <t>There is a further reduction in spend of £8,000 car allowances and £10,000 consultants.  If income remains the same level this should generate a breakeven position if the fees are kept the same.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</si>
</sst>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00"/>
    <numFmt numFmtId="177" formatCode="#,##0."/>
    <numFmt numFmtId="178" formatCode="0_ ;[Red]\-0\ "/>
    <numFmt numFmtId="179" formatCode="[$-809]dd\ mmmm\ yyyy"/>
  </numFmts>
  <fonts count="5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Univers (WN)"/>
      <family val="0"/>
    </font>
    <font>
      <sz val="8"/>
      <name val="Univers (WN)"/>
      <family val="0"/>
    </font>
    <font>
      <sz val="8"/>
      <name val="Helv"/>
      <family val="0"/>
    </font>
    <font>
      <sz val="8"/>
      <color indexed="9"/>
      <name val="Univers (WN)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Continuous"/>
    </xf>
    <xf numFmtId="4" fontId="5" fillId="0" borderId="0" xfId="0" applyNumberFormat="1" applyFont="1" applyFill="1" applyAlignment="1">
      <alignment/>
    </xf>
    <xf numFmtId="1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Alignment="1" quotePrefix="1">
      <alignment horizontal="center"/>
    </xf>
    <xf numFmtId="1" fontId="4" fillId="0" borderId="13" xfId="0" applyNumberFormat="1" applyFont="1" applyFill="1" applyBorder="1" applyAlignment="1">
      <alignment/>
    </xf>
    <xf numFmtId="4" fontId="5" fillId="0" borderId="0" xfId="0" applyNumberFormat="1" applyFont="1" applyFill="1" applyBorder="1" applyAlignment="1" quotePrefix="1">
      <alignment horizontal="center"/>
    </xf>
    <xf numFmtId="1" fontId="4" fillId="0" borderId="12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5" fillId="0" borderId="1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3" fontId="5" fillId="0" borderId="0" xfId="0" applyNumberFormat="1" applyFont="1" applyFill="1" applyBorder="1" applyAlignment="1" quotePrefix="1">
      <alignment horizontal="right"/>
    </xf>
    <xf numFmtId="4" fontId="5" fillId="0" borderId="18" xfId="0" applyNumberFormat="1" applyFont="1" applyFill="1" applyBorder="1" applyAlignment="1">
      <alignment/>
    </xf>
    <xf numFmtId="4" fontId="5" fillId="34" borderId="0" xfId="0" applyNumberFormat="1" applyFont="1" applyFill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4" fontId="5" fillId="34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1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 quotePrefix="1">
      <alignment horizontal="center"/>
    </xf>
    <xf numFmtId="4" fontId="0" fillId="0" borderId="0" xfId="0" applyNumberFormat="1" applyAlignment="1">
      <alignment/>
    </xf>
    <xf numFmtId="4" fontId="14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/>
    </xf>
    <xf numFmtId="0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69" fontId="1" fillId="0" borderId="20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1" fontId="0" fillId="35" borderId="0" xfId="0" applyNumberFormat="1" applyFill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C$\ACCOUNTS\CLOSURE\Close%202014\Working%20Papers\04%20Closure%20Budget%20Sheets\Recharges\PHE\BC%20Year%20end%20outturn%20recharge%2013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ient\C$\ACCOUNTS\CLOSURE\Close%202014\Working%20Papers\04%20Closure%20Budget%20Sheets\Recharges\PHE\Post%20IAS19\BC%20Year%20end%20outturn%20recharge%201314%20Post%20IAS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s 2013-14"/>
      <sheetName val="Income 2013-14"/>
      <sheetName val="Estimate 2013-14"/>
      <sheetName val="Journal"/>
      <sheetName val="Reserve 2013-14"/>
    </sheetNames>
    <sheetDataSet>
      <sheetData sheetId="0">
        <row r="41">
          <cell r="C41">
            <v>448969.08</v>
          </cell>
        </row>
        <row r="52">
          <cell r="C52">
            <v>23852.2</v>
          </cell>
        </row>
        <row r="61">
          <cell r="C61">
            <v>6451.13</v>
          </cell>
        </row>
      </sheetData>
      <sheetData sheetId="2">
        <row r="18">
          <cell r="T18">
            <v>354685.57320000004</v>
          </cell>
        </row>
        <row r="27">
          <cell r="B27">
            <v>23852.2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tuals 2013-14"/>
      <sheetName val="Income 2013-14"/>
      <sheetName val="Estimate 2013-14"/>
      <sheetName val="Journal"/>
      <sheetName val="Reserve 2013-14"/>
    </sheetNames>
    <sheetDataSet>
      <sheetData sheetId="1">
        <row r="17">
          <cell r="B17">
            <v>-320241.37</v>
          </cell>
        </row>
      </sheetData>
      <sheetData sheetId="2">
        <row r="18">
          <cell r="T18">
            <v>14512.552800000145</v>
          </cell>
        </row>
        <row r="26">
          <cell r="B26">
            <v>18370.32000000018</v>
          </cell>
        </row>
        <row r="27">
          <cell r="B27">
            <v>6.069999999999709</v>
          </cell>
        </row>
        <row r="28">
          <cell r="B28">
            <v>51.11999999999989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48.7109375" style="0" customWidth="1"/>
    <col min="2" max="2" width="18.8515625" style="57" customWidth="1"/>
    <col min="3" max="3" width="11.00390625" style="61" customWidth="1"/>
    <col min="4" max="4" width="19.00390625" style="57" bestFit="1" customWidth="1"/>
    <col min="5" max="5" width="11.00390625" style="61" customWidth="1"/>
    <col min="6" max="6" width="18.57421875" style="57" customWidth="1"/>
    <col min="8" max="8" width="19.8515625" style="0" customWidth="1"/>
    <col min="10" max="10" width="20.140625" style="0" customWidth="1"/>
  </cols>
  <sheetData>
    <row r="1" spans="1:6" ht="29.25" customHeight="1">
      <c r="A1" s="102" t="s">
        <v>174</v>
      </c>
      <c r="B1" s="102"/>
      <c r="C1" s="102"/>
      <c r="D1" s="102"/>
      <c r="E1" s="102"/>
      <c r="F1" s="102"/>
    </row>
    <row r="2" ht="12.75">
      <c r="A2" s="60"/>
    </row>
    <row r="3" spans="1:4" ht="25.5" customHeight="1">
      <c r="A3" s="103" t="s">
        <v>143</v>
      </c>
      <c r="B3" s="103"/>
      <c r="C3" s="103"/>
      <c r="D3" s="103"/>
    </row>
    <row r="4" ht="12.75">
      <c r="A4" s="60"/>
    </row>
    <row r="5" ht="12.75">
      <c r="A5" s="60"/>
    </row>
    <row r="6" ht="25.5">
      <c r="A6" s="60" t="s">
        <v>175</v>
      </c>
    </row>
    <row r="7" spans="1:10" ht="38.25">
      <c r="A7" s="53"/>
      <c r="B7" s="62" t="s">
        <v>140</v>
      </c>
      <c r="C7" s="63"/>
      <c r="D7" s="62" t="s">
        <v>141</v>
      </c>
      <c r="E7" s="63"/>
      <c r="F7" s="73" t="s">
        <v>142</v>
      </c>
      <c r="H7" s="80" t="s">
        <v>153</v>
      </c>
      <c r="I7" s="53"/>
      <c r="J7" s="80" t="s">
        <v>151</v>
      </c>
    </row>
    <row r="8" spans="1:10" ht="12.75">
      <c r="A8" s="53"/>
      <c r="B8" s="72" t="s">
        <v>176</v>
      </c>
      <c r="C8" s="63"/>
      <c r="D8" s="72" t="s">
        <v>176</v>
      </c>
      <c r="E8" s="63"/>
      <c r="F8" s="72" t="s">
        <v>176</v>
      </c>
      <c r="H8" s="72" t="s">
        <v>176</v>
      </c>
      <c r="J8" s="72" t="s">
        <v>176</v>
      </c>
    </row>
    <row r="9" spans="1:10" ht="12.75">
      <c r="A9" s="60" t="s">
        <v>136</v>
      </c>
      <c r="B9" s="62" t="s">
        <v>110</v>
      </c>
      <c r="C9" s="63"/>
      <c r="D9" s="62" t="s">
        <v>110</v>
      </c>
      <c r="E9" s="63"/>
      <c r="F9" s="62" t="s">
        <v>110</v>
      </c>
      <c r="H9" s="79" t="s">
        <v>110</v>
      </c>
      <c r="J9" s="79" t="s">
        <v>110</v>
      </c>
    </row>
    <row r="10" spans="1:10" ht="12.75">
      <c r="A10" s="64" t="s">
        <v>111</v>
      </c>
      <c r="B10" s="83">
        <f>'BC Costs 201314'!D58+('BC Costs 201314'!D9*'Costs Apportionment 201314'!T20)</f>
        <v>223316.5775</v>
      </c>
      <c r="C10" s="84"/>
      <c r="D10" s="83">
        <f>'BC Costs 201314'!D9*'Costs Apportionment 201314'!V20</f>
        <v>32045.19</v>
      </c>
      <c r="E10" s="84"/>
      <c r="F10" s="83">
        <f aca="true" t="shared" si="0" ref="F10:F18">B10+D10</f>
        <v>255361.76750000002</v>
      </c>
      <c r="G10" s="70"/>
      <c r="H10" s="77">
        <f>'BC Costs 201314'!D9*'Costs Apportionment 201314'!N20</f>
        <v>24033.8925</v>
      </c>
      <c r="I10" s="70"/>
      <c r="J10" s="77">
        <f aca="true" t="shared" si="1" ref="J10:J18">F10+H10</f>
        <v>279395.66000000003</v>
      </c>
    </row>
    <row r="11" spans="1:10" ht="12.75">
      <c r="A11" s="64" t="s">
        <v>112</v>
      </c>
      <c r="B11" s="83">
        <f>('BC Costs 201314'!D15*'Costs Apportionment 201314'!T20)</f>
        <v>3652.328</v>
      </c>
      <c r="C11" s="84"/>
      <c r="D11" s="83">
        <f>'BC Costs 201314'!D15*'Costs Apportionment 201314'!V20</f>
        <v>554.784</v>
      </c>
      <c r="E11" s="84"/>
      <c r="F11" s="83">
        <f t="shared" si="0"/>
        <v>4207.112</v>
      </c>
      <c r="G11" s="70"/>
      <c r="H11" s="77">
        <f>'BC Costs 201314'!D77+('BC Costs 201314'!D15*'Costs Apportionment 201314'!N20)</f>
        <v>445.218</v>
      </c>
      <c r="I11" s="70"/>
      <c r="J11" s="77">
        <f t="shared" si="1"/>
        <v>4652.33</v>
      </c>
    </row>
    <row r="12" spans="1:10" ht="12.75">
      <c r="A12" s="64" t="s">
        <v>113</v>
      </c>
      <c r="B12" s="83">
        <f>'BC Costs 201314'!D18*'Costs Apportionment 201314'!T20</f>
        <v>19012.013600000002</v>
      </c>
      <c r="C12" s="84"/>
      <c r="D12" s="83">
        <f>'BC Costs 201314'!D18*'Costs Apportionment 201314'!V20</f>
        <v>2887.9008</v>
      </c>
      <c r="E12" s="84"/>
      <c r="F12" s="83">
        <f t="shared" si="0"/>
        <v>21899.9144</v>
      </c>
      <c r="G12" s="70"/>
      <c r="H12" s="77">
        <f>'BC Costs 201314'!D18*'Costs Apportionment 201314'!N20</f>
        <v>2165.9256000000005</v>
      </c>
      <c r="I12" s="70"/>
      <c r="J12" s="77">
        <f t="shared" si="1"/>
        <v>24065.840000000004</v>
      </c>
    </row>
    <row r="13" spans="1:10" ht="12.75">
      <c r="A13" s="64" t="s">
        <v>114</v>
      </c>
      <c r="B13" s="83">
        <f>'BC Costs 201314'!D25*'Costs Apportionment 201314'!T20</f>
        <v>14144.428600000003</v>
      </c>
      <c r="C13" s="84"/>
      <c r="D13" s="83">
        <f>'BC Costs 201314'!D25*'Costs Apportionment 201314'!V20</f>
        <v>2148.5208000000002</v>
      </c>
      <c r="E13" s="84"/>
      <c r="F13" s="83">
        <f t="shared" si="0"/>
        <v>16292.949400000003</v>
      </c>
      <c r="G13" s="70"/>
      <c r="H13" s="77">
        <f>'BC Costs 201314'!D25*'Costs Apportionment 201314'!N20</f>
        <v>1611.3906000000006</v>
      </c>
      <c r="I13" s="70"/>
      <c r="J13" s="77">
        <f t="shared" si="1"/>
        <v>17904.340000000004</v>
      </c>
    </row>
    <row r="14" spans="1:10" ht="12.75">
      <c r="A14" s="64" t="s">
        <v>115</v>
      </c>
      <c r="B14" s="83">
        <f>'BC Costs 201314'!D65+('BC Costs 201314'!D34*'Costs Apportionment 201314'!T20)</f>
        <v>14741.6011</v>
      </c>
      <c r="C14" s="84"/>
      <c r="D14" s="83">
        <f>'BC Costs 201314'!D34*'Costs Apportionment 201314'!V20</f>
        <v>1010.7708</v>
      </c>
      <c r="E14" s="84"/>
      <c r="F14" s="83">
        <f t="shared" si="0"/>
        <v>15752.3719</v>
      </c>
      <c r="G14" s="70"/>
      <c r="H14" s="77">
        <f>'BC Costs 201314'!D80+('BC Costs 201314'!D34*'Costs Apportionment 201314'!N20)</f>
        <v>2453.0781</v>
      </c>
      <c r="I14" s="70"/>
      <c r="J14" s="77">
        <f t="shared" si="1"/>
        <v>18205.45</v>
      </c>
    </row>
    <row r="15" spans="1:10" ht="12.75">
      <c r="A15" s="64" t="s">
        <v>125</v>
      </c>
      <c r="B15" s="83">
        <f>'BC Costs 201314'!D68</f>
        <v>907.05</v>
      </c>
      <c r="C15" s="84"/>
      <c r="D15" s="83">
        <v>0</v>
      </c>
      <c r="E15" s="84"/>
      <c r="F15" s="83">
        <f t="shared" si="0"/>
        <v>907.05</v>
      </c>
      <c r="G15" s="70"/>
      <c r="H15" s="77">
        <v>0</v>
      </c>
      <c r="I15" s="70"/>
      <c r="J15" s="77">
        <f t="shared" si="1"/>
        <v>907.05</v>
      </c>
    </row>
    <row r="16" spans="1:10" ht="12.75">
      <c r="A16" s="64" t="s">
        <v>138</v>
      </c>
      <c r="B16" s="83">
        <f>'BC Costs 201314'!D72+('BC Costs 201314'!D53*'Costs Apportionment 201314'!T20)</f>
        <v>117282.39719999999</v>
      </c>
      <c r="C16" s="84"/>
      <c r="D16" s="83">
        <f>'BC Costs 201314'!D53*'Costs Apportionment 201314'!V20</f>
        <v>17433.561599999997</v>
      </c>
      <c r="E16" s="84"/>
      <c r="F16" s="83">
        <f t="shared" si="0"/>
        <v>134715.9588</v>
      </c>
      <c r="G16" s="70"/>
      <c r="H16" s="77">
        <f>'BC Costs 201314'!D87+('BC Costs 201314'!D53*'Costs Apportionment 201314'!N20)</f>
        <v>17853.2912</v>
      </c>
      <c r="I16" s="70"/>
      <c r="J16" s="77">
        <f t="shared" si="1"/>
        <v>152569.25</v>
      </c>
    </row>
    <row r="17" spans="1:10" ht="12.75">
      <c r="A17" s="64" t="s">
        <v>133</v>
      </c>
      <c r="B17" s="83">
        <v>0</v>
      </c>
      <c r="C17" s="84"/>
      <c r="D17" s="83">
        <v>0</v>
      </c>
      <c r="E17" s="84"/>
      <c r="F17" s="83">
        <f t="shared" si="0"/>
        <v>0</v>
      </c>
      <c r="G17" s="70"/>
      <c r="H17" s="77">
        <v>0</v>
      </c>
      <c r="I17" s="70"/>
      <c r="J17" s="77">
        <f t="shared" si="1"/>
        <v>0</v>
      </c>
    </row>
    <row r="18" spans="1:10" ht="12.75">
      <c r="A18" s="64" t="s">
        <v>134</v>
      </c>
      <c r="B18" s="83">
        <v>0</v>
      </c>
      <c r="C18" s="84"/>
      <c r="D18" s="83">
        <v>0</v>
      </c>
      <c r="E18" s="84"/>
      <c r="F18" s="83">
        <f t="shared" si="0"/>
        <v>0</v>
      </c>
      <c r="G18" s="70"/>
      <c r="H18" s="77">
        <v>0</v>
      </c>
      <c r="I18" s="70"/>
      <c r="J18" s="77">
        <f t="shared" si="1"/>
        <v>0</v>
      </c>
    </row>
    <row r="19" spans="1:10" ht="12.75">
      <c r="A19" s="53" t="s">
        <v>116</v>
      </c>
      <c r="B19" s="85">
        <f>SUM(B10:B16)</f>
        <v>393056.396</v>
      </c>
      <c r="C19" s="86"/>
      <c r="D19" s="85">
        <f>SUM(D10:D16)</f>
        <v>56080.72799999999</v>
      </c>
      <c r="E19" s="86"/>
      <c r="F19" s="85">
        <f>SUM(F10:F16)</f>
        <v>449137.12399999995</v>
      </c>
      <c r="G19" s="70"/>
      <c r="H19" s="85">
        <f>SUM(H10:H18)</f>
        <v>48562.796</v>
      </c>
      <c r="I19" s="70"/>
      <c r="J19" s="85">
        <f>SUM(J10:J18)</f>
        <v>497699.9200000001</v>
      </c>
    </row>
    <row r="20" spans="1:10" ht="12.75">
      <c r="A20" s="53"/>
      <c r="B20" s="86"/>
      <c r="C20" s="86"/>
      <c r="D20" s="86"/>
      <c r="E20" s="86"/>
      <c r="F20" s="86"/>
      <c r="G20" s="70"/>
      <c r="H20" s="70"/>
      <c r="I20" s="70"/>
      <c r="J20" s="70"/>
    </row>
    <row r="21" spans="1:10" ht="12.75">
      <c r="A21" s="53" t="s">
        <v>135</v>
      </c>
      <c r="B21" s="83"/>
      <c r="C21" s="84"/>
      <c r="D21" s="83"/>
      <c r="E21" s="84"/>
      <c r="F21" s="83"/>
      <c r="G21" s="70"/>
      <c r="H21" s="70"/>
      <c r="I21" s="70"/>
      <c r="J21" s="70"/>
    </row>
    <row r="22" spans="1:10" ht="12.75">
      <c r="A22" t="s">
        <v>139</v>
      </c>
      <c r="B22" s="83">
        <f>-Income!C12+-Income!C13+-Income!C14</f>
        <v>320241.37</v>
      </c>
      <c r="C22" s="84"/>
      <c r="D22" s="83">
        <v>0</v>
      </c>
      <c r="E22" s="84"/>
      <c r="F22" s="83">
        <f>SUM(B22:E22)</f>
        <v>320241.37</v>
      </c>
      <c r="G22" s="70"/>
      <c r="H22" s="70">
        <v>0</v>
      </c>
      <c r="I22" s="70"/>
      <c r="J22" s="77">
        <f>F22+H22</f>
        <v>320241.37</v>
      </c>
    </row>
    <row r="23" spans="1:10" ht="12.75">
      <c r="A23" t="s">
        <v>126</v>
      </c>
      <c r="B23" s="83">
        <v>0</v>
      </c>
      <c r="C23" s="84"/>
      <c r="D23" s="82">
        <f>-Income!C11</f>
        <v>11.5</v>
      </c>
      <c r="E23" s="84"/>
      <c r="F23" s="82">
        <f>SUM(B23:D23)</f>
        <v>11.5</v>
      </c>
      <c r="G23" s="70"/>
      <c r="H23" s="70">
        <v>0</v>
      </c>
      <c r="I23" s="70"/>
      <c r="J23" s="77">
        <f>F23+H23</f>
        <v>11.5</v>
      </c>
    </row>
    <row r="24" spans="1:10" ht="12.75">
      <c r="A24" s="53" t="s">
        <v>117</v>
      </c>
      <c r="B24" s="87">
        <f>SUM(B22:B23)</f>
        <v>320241.37</v>
      </c>
      <c r="C24" s="84"/>
      <c r="D24" s="87">
        <f>SUM(D23:D23)</f>
        <v>11.5</v>
      </c>
      <c r="E24" s="84"/>
      <c r="F24" s="87">
        <f>SUM(F22:F23)</f>
        <v>320252.87</v>
      </c>
      <c r="G24" s="70"/>
      <c r="H24" s="87">
        <f>SUM(H22:H23)</f>
        <v>0</v>
      </c>
      <c r="I24" s="70"/>
      <c r="J24" s="87">
        <f>SUM(J22:J23)</f>
        <v>320252.87</v>
      </c>
    </row>
    <row r="25" spans="2:10" ht="12.75">
      <c r="B25" s="83"/>
      <c r="C25" s="84"/>
      <c r="D25" s="83"/>
      <c r="E25" s="84"/>
      <c r="F25" s="83"/>
      <c r="G25" s="70"/>
      <c r="H25" s="70"/>
      <c r="I25" s="70"/>
      <c r="J25" s="70"/>
    </row>
    <row r="26" spans="1:10" ht="13.5" thickBot="1">
      <c r="A26" s="74" t="s">
        <v>202</v>
      </c>
      <c r="B26" s="88">
        <f>B24-B19</f>
        <v>-72815.02600000001</v>
      </c>
      <c r="C26" s="89"/>
      <c r="D26" s="88">
        <f>D24-D19</f>
        <v>-56069.22799999999</v>
      </c>
      <c r="E26" s="89"/>
      <c r="F26" s="88">
        <f>F24-F19</f>
        <v>-128884.25399999996</v>
      </c>
      <c r="G26" s="70"/>
      <c r="H26" s="88">
        <f>H24-H19</f>
        <v>-48562.796</v>
      </c>
      <c r="I26" s="70"/>
      <c r="J26" s="88">
        <f>J24-J19</f>
        <v>-177447.0500000001</v>
      </c>
    </row>
    <row r="27" spans="1:10" ht="13.5" thickTop="1">
      <c r="A27" s="53"/>
      <c r="B27" s="81"/>
      <c r="C27" s="81"/>
      <c r="D27" s="81"/>
      <c r="E27" s="81"/>
      <c r="F27" s="81"/>
      <c r="G27" s="78"/>
      <c r="H27" s="78"/>
      <c r="I27" s="78"/>
      <c r="J27" s="78"/>
    </row>
    <row r="28" spans="1:6" ht="12.75">
      <c r="A28" s="53"/>
      <c r="B28" s="66"/>
      <c r="C28" s="66"/>
      <c r="D28" s="66"/>
      <c r="E28" s="66"/>
      <c r="F28" s="66"/>
    </row>
    <row r="29" ht="13.5" thickBot="1">
      <c r="A29" s="71" t="s">
        <v>137</v>
      </c>
    </row>
    <row r="30" spans="1:2" ht="12.75">
      <c r="A30" s="60" t="s">
        <v>152</v>
      </c>
      <c r="B30" s="76">
        <v>20461</v>
      </c>
    </row>
    <row r="31" spans="1:2" ht="12.75">
      <c r="A31" s="60" t="s">
        <v>170</v>
      </c>
      <c r="B31" s="76">
        <v>4804</v>
      </c>
    </row>
    <row r="32" spans="1:2" ht="12.75">
      <c r="A32" s="60" t="s">
        <v>199</v>
      </c>
      <c r="B32" s="76">
        <f>B26</f>
        <v>-72815.02600000001</v>
      </c>
    </row>
    <row r="33" spans="1:2" ht="12.75">
      <c r="A33" s="60" t="s">
        <v>73</v>
      </c>
      <c r="B33" s="90">
        <f>SUM(B30:B32)</f>
        <v>-47550.02600000001</v>
      </c>
    </row>
    <row r="34" spans="1:2" ht="12.75">
      <c r="A34" s="60"/>
      <c r="B34" s="76"/>
    </row>
    <row r="35" spans="1:2" ht="12.75">
      <c r="A35" s="60" t="s">
        <v>200</v>
      </c>
      <c r="B35" s="76">
        <v>46339.9</v>
      </c>
    </row>
    <row r="36" spans="1:3" ht="12.75">
      <c r="A36" s="60" t="s">
        <v>203</v>
      </c>
      <c r="B36" s="76">
        <f>B35+B26</f>
        <v>-26475.12600000001</v>
      </c>
      <c r="C36" s="61" t="s">
        <v>201</v>
      </c>
    </row>
    <row r="37" ht="12.75">
      <c r="A37" s="60"/>
    </row>
    <row r="38" ht="12.75">
      <c r="A38" s="60" t="s">
        <v>144</v>
      </c>
    </row>
    <row r="39" spans="1:2" ht="12.75">
      <c r="A39" s="60" t="s">
        <v>77</v>
      </c>
      <c r="B39" s="57" t="s">
        <v>145</v>
      </c>
    </row>
    <row r="40" ht="12.75">
      <c r="A40" s="60" t="s">
        <v>146</v>
      </c>
    </row>
    <row r="41" ht="12.75">
      <c r="A41" s="60"/>
    </row>
    <row r="43" spans="1:2" ht="12.75">
      <c r="A43" s="91" t="s">
        <v>171</v>
      </c>
      <c r="B43" s="77" t="s">
        <v>172</v>
      </c>
    </row>
    <row r="44" spans="1:2" ht="12.75">
      <c r="A44" s="95" t="s">
        <v>173</v>
      </c>
      <c r="B44" s="94">
        <v>41792</v>
      </c>
    </row>
    <row r="45" ht="12.75">
      <c r="A45" s="75"/>
    </row>
    <row r="46" ht="12.75">
      <c r="A46" t="s">
        <v>204</v>
      </c>
    </row>
    <row r="47" ht="12.75">
      <c r="A47" t="s">
        <v>205</v>
      </c>
    </row>
    <row r="48" spans="1:6" ht="12.75">
      <c r="A48" s="53"/>
      <c r="B48" s="62"/>
      <c r="C48" s="63"/>
      <c r="D48" s="62"/>
      <c r="E48" s="63"/>
      <c r="F48" s="62"/>
    </row>
    <row r="49" spans="2:6" ht="13.5" customHeight="1">
      <c r="B49" s="62"/>
      <c r="C49" s="63"/>
      <c r="D49" s="62"/>
      <c r="E49" s="63"/>
      <c r="F49" s="62"/>
    </row>
    <row r="50" spans="1:4" ht="12.75">
      <c r="A50" s="53"/>
      <c r="D50" s="65"/>
    </row>
    <row r="52" spans="2:6" ht="12.75">
      <c r="B52" s="61"/>
      <c r="D52" s="61"/>
      <c r="F52" s="61"/>
    </row>
    <row r="53" spans="2:6" ht="12.75">
      <c r="B53" s="61"/>
      <c r="D53" s="61"/>
      <c r="F53" s="61"/>
    </row>
    <row r="54" spans="1:6" ht="12.75">
      <c r="A54" s="53"/>
      <c r="B54" s="61"/>
      <c r="D54" s="61"/>
      <c r="F54" s="61"/>
    </row>
    <row r="55" spans="2:6" ht="12.75">
      <c r="B55" s="61"/>
      <c r="D55" s="61"/>
      <c r="F55" s="61"/>
    </row>
    <row r="56" spans="1:6" ht="12.75">
      <c r="A56" s="53"/>
      <c r="B56" s="61"/>
      <c r="D56" s="61"/>
      <c r="F56" s="61"/>
    </row>
    <row r="57" spans="2:6" ht="12.75">
      <c r="B57" s="61"/>
      <c r="D57" s="61"/>
      <c r="F57" s="61"/>
    </row>
  </sheetData>
  <sheetProtection/>
  <mergeCells count="2">
    <mergeCell ref="A1:F1"/>
    <mergeCell ref="A3:D3"/>
  </mergeCells>
  <printOptions gridLines="1"/>
  <pageMargins left="0.75" right="0.75" top="1" bottom="1" header="0.5" footer="0.5"/>
  <pageSetup fitToHeight="1" fitToWidth="1" horizontalDpi="600" verticalDpi="600" orientation="landscape" paperSize="9" scale="71" r:id="rId1"/>
  <headerFooter alignWithMargins="0">
    <oddHeader>&amp;C&amp;F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1">
      <selection activeCell="C94" sqref="C94"/>
    </sheetView>
  </sheetViews>
  <sheetFormatPr defaultColWidth="9.140625" defaultRowHeight="12.75"/>
  <cols>
    <col min="1" max="1" width="21.57421875" style="75" bestFit="1" customWidth="1"/>
    <col min="2" max="2" width="20.8515625" style="75" bestFit="1" customWidth="1"/>
    <col min="3" max="3" width="37.28125" style="75" bestFit="1" customWidth="1"/>
    <col min="4" max="4" width="36.00390625" style="75" customWidth="1"/>
    <col min="5" max="10" width="9.140625" style="75" customWidth="1"/>
    <col min="11" max="11" width="12.140625" style="75" bestFit="1" customWidth="1"/>
    <col min="12" max="16384" width="9.140625" style="75" customWidth="1"/>
  </cols>
  <sheetData>
    <row r="1" ht="12.75">
      <c r="A1" s="74" t="s">
        <v>192</v>
      </c>
    </row>
    <row r="3" spans="1:4" ht="12.75">
      <c r="A3" s="74" t="s">
        <v>158</v>
      </c>
      <c r="B3" s="75" t="s">
        <v>98</v>
      </c>
      <c r="C3" s="75" t="s">
        <v>99</v>
      </c>
      <c r="D3" s="97" t="s">
        <v>177</v>
      </c>
    </row>
    <row r="4" spans="2:4" ht="12.75">
      <c r="B4" s="75">
        <v>44104761110</v>
      </c>
      <c r="C4" s="75" t="s">
        <v>39</v>
      </c>
      <c r="D4" s="92">
        <v>160020.07</v>
      </c>
    </row>
    <row r="5" spans="2:4" ht="12.75">
      <c r="B5" s="75">
        <v>44104761119</v>
      </c>
      <c r="C5" s="75" t="s">
        <v>67</v>
      </c>
      <c r="D5" s="92">
        <v>1343.02</v>
      </c>
    </row>
    <row r="6" spans="2:4" ht="12.75">
      <c r="B6" s="75">
        <v>44104761130</v>
      </c>
      <c r="C6" s="75" t="s">
        <v>40</v>
      </c>
      <c r="D6" s="92">
        <v>15132.2</v>
      </c>
    </row>
    <row r="7" spans="2:4" ht="12.75">
      <c r="B7" s="75">
        <v>44104761131</v>
      </c>
      <c r="C7" s="75" t="s">
        <v>41</v>
      </c>
      <c r="D7" s="92">
        <v>37755.16</v>
      </c>
    </row>
    <row r="8" spans="2:4" ht="12.75">
      <c r="B8" s="75">
        <v>44104761221</v>
      </c>
      <c r="C8" s="75" t="s">
        <v>42</v>
      </c>
      <c r="D8" s="98">
        <v>52792.8</v>
      </c>
    </row>
    <row r="9" spans="3:4" ht="12.75">
      <c r="C9" s="74" t="s">
        <v>159</v>
      </c>
      <c r="D9" s="93">
        <f>SUM(D4:D8)</f>
        <v>267043.25</v>
      </c>
    </row>
    <row r="10" ht="12.75">
      <c r="D10" s="98"/>
    </row>
    <row r="11" spans="2:4" ht="12.75">
      <c r="B11" s="75">
        <v>44104761850</v>
      </c>
      <c r="C11" s="75" t="s">
        <v>43</v>
      </c>
      <c r="D11" s="75">
        <v>699</v>
      </c>
    </row>
    <row r="12" spans="2:4" ht="12.75">
      <c r="B12" s="75">
        <v>44104761860</v>
      </c>
      <c r="C12" s="75" t="s">
        <v>106</v>
      </c>
      <c r="D12" s="92">
        <v>3317.9</v>
      </c>
    </row>
    <row r="13" spans="2:4" ht="12.75">
      <c r="B13" s="75">
        <v>44104761880</v>
      </c>
      <c r="C13" s="75" t="s">
        <v>89</v>
      </c>
      <c r="D13" s="75">
        <v>269.46</v>
      </c>
    </row>
    <row r="14" spans="2:4" ht="12.75">
      <c r="B14" s="75">
        <v>44104761995</v>
      </c>
      <c r="C14" s="75" t="s">
        <v>44</v>
      </c>
      <c r="D14" s="75">
        <v>336.84</v>
      </c>
    </row>
    <row r="15" spans="3:4" ht="12.75">
      <c r="C15" s="74" t="s">
        <v>112</v>
      </c>
      <c r="D15" s="74">
        <f>SUM(D11:D14)</f>
        <v>4623.2</v>
      </c>
    </row>
    <row r="16" spans="3:4" ht="12.75">
      <c r="C16" s="74"/>
      <c r="D16" s="74"/>
    </row>
    <row r="17" spans="2:4" ht="12.75">
      <c r="B17" s="75">
        <v>44104767196</v>
      </c>
      <c r="C17" s="75" t="s">
        <v>52</v>
      </c>
      <c r="D17" s="92">
        <v>24065.84</v>
      </c>
    </row>
    <row r="18" spans="3:4" ht="12.75">
      <c r="C18" s="74" t="s">
        <v>113</v>
      </c>
      <c r="D18" s="93">
        <f>SUM(D17)</f>
        <v>24065.84</v>
      </c>
    </row>
    <row r="20" spans="2:4" ht="12.75">
      <c r="B20" s="75">
        <v>44104763130</v>
      </c>
      <c r="C20" s="75" t="s">
        <v>93</v>
      </c>
      <c r="D20" s="92">
        <v>5800.16</v>
      </c>
    </row>
    <row r="21" spans="2:4" ht="12.75">
      <c r="B21" s="75">
        <v>44104763241</v>
      </c>
      <c r="C21" s="75" t="s">
        <v>45</v>
      </c>
      <c r="D21" s="92">
        <v>3000</v>
      </c>
    </row>
    <row r="22" spans="2:4" ht="12.75">
      <c r="B22" s="75">
        <v>44104763350</v>
      </c>
      <c r="C22" s="75" t="s">
        <v>46</v>
      </c>
      <c r="D22" s="92">
        <v>7267.6</v>
      </c>
    </row>
    <row r="23" spans="2:4" ht="12.75">
      <c r="B23" s="75">
        <v>44104763351</v>
      </c>
      <c r="C23" s="75" t="s">
        <v>148</v>
      </c>
      <c r="D23" s="92">
        <v>1396</v>
      </c>
    </row>
    <row r="24" spans="2:4" ht="12.75">
      <c r="B24" s="75">
        <v>44104763353</v>
      </c>
      <c r="C24" s="75" t="s">
        <v>178</v>
      </c>
      <c r="D24" s="75">
        <v>440.58</v>
      </c>
    </row>
    <row r="25" spans="3:4" ht="12.75">
      <c r="C25" s="74" t="s">
        <v>114</v>
      </c>
      <c r="D25" s="93">
        <f>SUM(D20:D24)</f>
        <v>17904.340000000004</v>
      </c>
    </row>
    <row r="27" spans="2:4" ht="12.75">
      <c r="B27" s="75">
        <v>44104764012</v>
      </c>
      <c r="C27" s="75" t="s">
        <v>179</v>
      </c>
      <c r="D27" s="75">
        <v>6.63</v>
      </c>
    </row>
    <row r="28" spans="2:4" ht="12.75">
      <c r="B28" s="75">
        <v>44104764045</v>
      </c>
      <c r="C28" s="75" t="s">
        <v>119</v>
      </c>
      <c r="D28" s="96">
        <v>258.49</v>
      </c>
    </row>
    <row r="29" spans="2:4" ht="12.75">
      <c r="B29" s="96">
        <v>44104764260</v>
      </c>
      <c r="C29" s="75" t="s">
        <v>149</v>
      </c>
      <c r="D29" s="75">
        <v>46.58</v>
      </c>
    </row>
    <row r="30" spans="2:4" ht="12.75">
      <c r="B30" s="75">
        <v>44104764423</v>
      </c>
      <c r="C30" s="75" t="s">
        <v>154</v>
      </c>
      <c r="D30" s="75">
        <v>937.01</v>
      </c>
    </row>
    <row r="31" spans="2:4" ht="12.75">
      <c r="B31" s="75">
        <v>44104764561</v>
      </c>
      <c r="C31" s="75" t="s">
        <v>47</v>
      </c>
      <c r="D31" s="99">
        <v>329.51</v>
      </c>
    </row>
    <row r="32" spans="2:4" ht="12.75">
      <c r="B32" s="75">
        <v>44104764562</v>
      </c>
      <c r="C32" s="75" t="s">
        <v>48</v>
      </c>
      <c r="D32" s="92">
        <v>5981.86</v>
      </c>
    </row>
    <row r="33" spans="2:4" ht="12.75">
      <c r="B33" s="75">
        <v>44104764920</v>
      </c>
      <c r="C33" s="75" t="s">
        <v>49</v>
      </c>
      <c r="D33" s="75">
        <v>863.01</v>
      </c>
    </row>
    <row r="34" spans="3:4" ht="12.75">
      <c r="C34" s="74" t="s">
        <v>160</v>
      </c>
      <c r="D34" s="74">
        <f>SUM(D27:D33)</f>
        <v>8423.09</v>
      </c>
    </row>
    <row r="36" spans="2:4" ht="12.75">
      <c r="B36" s="75">
        <v>44104767110</v>
      </c>
      <c r="C36" s="75" t="s">
        <v>180</v>
      </c>
      <c r="D36" s="92">
        <v>1824.65</v>
      </c>
    </row>
    <row r="37" spans="2:4" ht="12.75">
      <c r="B37" s="75">
        <v>44104767111</v>
      </c>
      <c r="C37" s="75" t="s">
        <v>120</v>
      </c>
      <c r="D37" s="92">
        <v>3435.86</v>
      </c>
    </row>
    <row r="38" spans="2:4" ht="12.75">
      <c r="B38" s="75">
        <v>44104767114</v>
      </c>
      <c r="C38" s="75" t="s">
        <v>50</v>
      </c>
      <c r="D38" s="92">
        <v>8093.05</v>
      </c>
    </row>
    <row r="39" spans="2:4" ht="12.75">
      <c r="B39" s="75">
        <v>44104767118</v>
      </c>
      <c r="C39" s="75" t="s">
        <v>61</v>
      </c>
      <c r="D39" s="98">
        <v>9471.31</v>
      </c>
    </row>
    <row r="40" spans="2:4" ht="12.75">
      <c r="B40" s="75">
        <v>44104767129</v>
      </c>
      <c r="C40" s="75" t="s">
        <v>68</v>
      </c>
      <c r="D40" s="75">
        <v>914.46</v>
      </c>
    </row>
    <row r="41" spans="2:4" ht="12.75">
      <c r="B41" s="75">
        <v>44104767141</v>
      </c>
      <c r="C41" s="75" t="s">
        <v>90</v>
      </c>
      <c r="D41" s="92">
        <v>15466.03</v>
      </c>
    </row>
    <row r="42" spans="2:4" ht="12.75">
      <c r="B42" s="75">
        <v>44104767150</v>
      </c>
      <c r="C42" s="75" t="s">
        <v>51</v>
      </c>
      <c r="D42" s="98">
        <v>17043.28</v>
      </c>
    </row>
    <row r="43" spans="2:4" ht="12.75">
      <c r="B43" s="75">
        <v>44104767166</v>
      </c>
      <c r="C43" s="75" t="s">
        <v>121</v>
      </c>
      <c r="D43" s="92">
        <v>52362.55</v>
      </c>
    </row>
    <row r="44" spans="2:4" ht="12.75">
      <c r="B44" s="75">
        <v>44104767182</v>
      </c>
      <c r="C44" s="75" t="s">
        <v>95</v>
      </c>
      <c r="D44" s="98">
        <v>2759.3</v>
      </c>
    </row>
    <row r="45" spans="2:4" ht="12.75">
      <c r="B45" s="75">
        <v>44104767223</v>
      </c>
      <c r="C45" s="75" t="s">
        <v>94</v>
      </c>
      <c r="D45" s="92">
        <v>2505.7</v>
      </c>
    </row>
    <row r="46" spans="2:4" ht="12.75">
      <c r="B46" s="75">
        <v>44104767226</v>
      </c>
      <c r="C46" s="75" t="s">
        <v>155</v>
      </c>
      <c r="D46" s="75">
        <v>221.71</v>
      </c>
    </row>
    <row r="47" spans="2:4" ht="12.75">
      <c r="B47" s="75">
        <v>44104767255</v>
      </c>
      <c r="C47" s="75" t="s">
        <v>53</v>
      </c>
      <c r="D47" s="92">
        <v>6753.17</v>
      </c>
    </row>
    <row r="48" spans="2:4" ht="12.75">
      <c r="B48" s="75">
        <v>44104767263</v>
      </c>
      <c r="C48" s="75" t="s">
        <v>105</v>
      </c>
      <c r="D48" s="75">
        <v>944.71</v>
      </c>
    </row>
    <row r="49" spans="2:4" ht="12.75">
      <c r="B49" s="75">
        <v>44104767284</v>
      </c>
      <c r="C49" s="75" t="s">
        <v>91</v>
      </c>
      <c r="D49" s="75">
        <v>39</v>
      </c>
    </row>
    <row r="50" spans="2:4" ht="12.75">
      <c r="B50" s="75">
        <v>44104767292</v>
      </c>
      <c r="C50" s="75" t="s">
        <v>122</v>
      </c>
      <c r="D50" s="92">
        <v>16995.72</v>
      </c>
    </row>
    <row r="51" spans="2:4" ht="12.75">
      <c r="B51" s="75">
        <v>44104767293</v>
      </c>
      <c r="C51" s="75" t="s">
        <v>107</v>
      </c>
      <c r="D51" s="75">
        <v>764.55</v>
      </c>
    </row>
    <row r="52" spans="2:4" ht="12.75">
      <c r="B52" s="75">
        <v>44104767294</v>
      </c>
      <c r="C52" s="75" t="s">
        <v>150</v>
      </c>
      <c r="D52" s="92">
        <v>5684.63</v>
      </c>
    </row>
    <row r="53" spans="3:4" ht="12.75">
      <c r="C53" s="74" t="s">
        <v>138</v>
      </c>
      <c r="D53" s="93">
        <f>SUM(D36:D52)</f>
        <v>145279.68</v>
      </c>
    </row>
    <row r="54" spans="3:4" ht="12.75">
      <c r="C54" s="74"/>
      <c r="D54" s="93"/>
    </row>
    <row r="55" spans="3:4" ht="12.75">
      <c r="C55" s="74" t="s">
        <v>161</v>
      </c>
      <c r="D55" s="93">
        <f>D9+D15+D18+D25+D34+D53</f>
        <v>467339.4000000001</v>
      </c>
    </row>
    <row r="56" ht="12.75">
      <c r="D56" s="92"/>
    </row>
    <row r="57" spans="1:4" ht="12.75">
      <c r="A57" s="74" t="s">
        <v>162</v>
      </c>
      <c r="B57" s="75">
        <v>44104771119</v>
      </c>
      <c r="C57" s="75" t="s">
        <v>123</v>
      </c>
      <c r="D57" s="92">
        <v>12352.41</v>
      </c>
    </row>
    <row r="58" spans="3:4" ht="12.75">
      <c r="C58" s="74" t="s">
        <v>159</v>
      </c>
      <c r="D58" s="93">
        <f>SUM(D57)</f>
        <v>12352.41</v>
      </c>
    </row>
    <row r="59" ht="12.75">
      <c r="D59" s="92"/>
    </row>
    <row r="60" spans="2:4" ht="12.75">
      <c r="B60" s="75">
        <v>44104774370</v>
      </c>
      <c r="C60" s="75" t="s">
        <v>181</v>
      </c>
      <c r="D60" s="75">
        <v>305</v>
      </c>
    </row>
    <row r="61" spans="2:4" ht="12.75">
      <c r="B61" s="75">
        <v>44104774371</v>
      </c>
      <c r="C61" s="75" t="s">
        <v>182</v>
      </c>
      <c r="D61" s="75">
        <v>500</v>
      </c>
    </row>
    <row r="62" spans="2:4" ht="12.75">
      <c r="B62" s="75">
        <v>44104774374</v>
      </c>
      <c r="C62" s="75" t="s">
        <v>156</v>
      </c>
      <c r="D62" s="75">
        <v>130</v>
      </c>
    </row>
    <row r="63" spans="2:4" ht="12.75">
      <c r="B63" s="75">
        <v>44104774425</v>
      </c>
      <c r="C63" s="75" t="s">
        <v>54</v>
      </c>
      <c r="D63" s="92">
        <v>3075</v>
      </c>
    </row>
    <row r="64" spans="2:4" ht="12.75">
      <c r="B64" s="75">
        <v>44104774789</v>
      </c>
      <c r="C64" s="75" t="s">
        <v>183</v>
      </c>
      <c r="D64" s="92">
        <v>4077.36</v>
      </c>
    </row>
    <row r="65" spans="3:4" ht="12.75">
      <c r="C65" s="74" t="s">
        <v>115</v>
      </c>
      <c r="D65" s="93">
        <f>SUM(D60:D64)</f>
        <v>8087.360000000001</v>
      </c>
    </row>
    <row r="66" ht="12.75">
      <c r="D66" s="92"/>
    </row>
    <row r="67" spans="2:4" ht="12.75">
      <c r="B67" s="75">
        <v>44104775210</v>
      </c>
      <c r="C67" s="75" t="s">
        <v>124</v>
      </c>
      <c r="D67" s="75">
        <v>907.05</v>
      </c>
    </row>
    <row r="68" spans="3:4" ht="12.75">
      <c r="C68" s="74" t="s">
        <v>125</v>
      </c>
      <c r="D68" s="74">
        <f>SUM(D67)</f>
        <v>907.05</v>
      </c>
    </row>
    <row r="70" spans="2:4" ht="12.75">
      <c r="B70" s="75">
        <v>44104777255</v>
      </c>
      <c r="C70" s="75" t="s">
        <v>157</v>
      </c>
      <c r="D70" s="75">
        <v>126.05</v>
      </c>
    </row>
    <row r="71" spans="2:4" ht="12.75">
      <c r="B71" s="75">
        <v>44104777295</v>
      </c>
      <c r="C71" s="75" t="s">
        <v>184</v>
      </c>
      <c r="D71" s="92">
        <v>2385.4</v>
      </c>
    </row>
    <row r="72" spans="3:4" ht="12.75">
      <c r="C72" s="74" t="s">
        <v>138</v>
      </c>
      <c r="D72" s="93">
        <f>SUM(D70:D71)</f>
        <v>2511.4500000000003</v>
      </c>
    </row>
    <row r="73" spans="3:4" ht="12.75">
      <c r="C73" s="74"/>
      <c r="D73" s="93"/>
    </row>
    <row r="74" spans="3:4" ht="12.75">
      <c r="C74" s="74" t="s">
        <v>163</v>
      </c>
      <c r="D74" s="93">
        <f>D58+D65+D68+D72</f>
        <v>23858.27</v>
      </c>
    </row>
    <row r="75" ht="12.75">
      <c r="D75" s="92"/>
    </row>
    <row r="76" spans="1:4" ht="12.75">
      <c r="A76" s="74" t="s">
        <v>164</v>
      </c>
      <c r="B76" s="75">
        <v>44104781880</v>
      </c>
      <c r="C76" s="75" t="s">
        <v>185</v>
      </c>
      <c r="D76" s="75">
        <v>29.13</v>
      </c>
    </row>
    <row r="77" spans="1:4" ht="12.75">
      <c r="A77" s="74"/>
      <c r="C77" s="74" t="s">
        <v>198</v>
      </c>
      <c r="D77" s="74">
        <f>SUM(D76)</f>
        <v>29.13</v>
      </c>
    </row>
    <row r="78" ht="12.75">
      <c r="A78" s="74"/>
    </row>
    <row r="79" spans="2:4" ht="12.75">
      <c r="B79" s="75">
        <v>44104784921</v>
      </c>
      <c r="C79" s="75" t="s">
        <v>186</v>
      </c>
      <c r="D79" s="92">
        <v>1695</v>
      </c>
    </row>
    <row r="80" spans="3:4" ht="12.75">
      <c r="C80" s="74" t="s">
        <v>115</v>
      </c>
      <c r="D80" s="93">
        <f>SUM(D79)</f>
        <v>1695</v>
      </c>
    </row>
    <row r="81" ht="12.75">
      <c r="D81" s="92"/>
    </row>
    <row r="82" spans="2:4" ht="12.75">
      <c r="B82" s="75">
        <v>44104787111</v>
      </c>
      <c r="C82" s="75" t="s">
        <v>187</v>
      </c>
      <c r="D82" s="75">
        <v>378.35</v>
      </c>
    </row>
    <row r="83" spans="2:4" ht="12.75">
      <c r="B83" s="75">
        <v>44104787114</v>
      </c>
      <c r="C83" s="75" t="s">
        <v>188</v>
      </c>
      <c r="D83" s="75">
        <v>898.06</v>
      </c>
    </row>
    <row r="84" spans="2:4" ht="12.75">
      <c r="B84" s="75">
        <v>44104787129</v>
      </c>
      <c r="C84" s="75" t="s">
        <v>189</v>
      </c>
      <c r="D84" s="75">
        <v>98.86</v>
      </c>
    </row>
    <row r="85" spans="2:4" ht="12.75">
      <c r="B85" s="75">
        <v>44104787182</v>
      </c>
      <c r="C85" s="75" t="s">
        <v>190</v>
      </c>
      <c r="D85" s="75">
        <v>308.88</v>
      </c>
    </row>
    <row r="86" spans="2:4" ht="12.75">
      <c r="B86" s="75">
        <v>44104787196</v>
      </c>
      <c r="C86" s="75" t="s">
        <v>191</v>
      </c>
      <c r="D86" s="92">
        <v>3093.97</v>
      </c>
    </row>
    <row r="87" spans="3:4" ht="12.75">
      <c r="C87" s="74" t="s">
        <v>138</v>
      </c>
      <c r="D87" s="74">
        <f>SUM(D82:D86)</f>
        <v>4778.119999999999</v>
      </c>
    </row>
    <row r="89" spans="3:4" ht="12.75">
      <c r="C89" s="74" t="s">
        <v>165</v>
      </c>
      <c r="D89" s="93">
        <f>D77+D80+D87</f>
        <v>6502.249999999999</v>
      </c>
    </row>
    <row r="91" spans="3:4" ht="12.75">
      <c r="C91" s="74" t="s">
        <v>116</v>
      </c>
      <c r="D91" s="93">
        <f>D55+D74+D89</f>
        <v>497699.9200000001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paperSize="9" scale="57" r:id="rId1"/>
  <headerFooter alignWithMargins="0">
    <oddHeader>&amp;C&amp;F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20.8515625" style="0" bestFit="1" customWidth="1"/>
    <col min="2" max="2" width="28.140625" style="64" bestFit="1" customWidth="1"/>
    <col min="3" max="3" width="13.8515625" style="64" customWidth="1"/>
  </cols>
  <sheetData>
    <row r="1" ht="12.75">
      <c r="A1" s="53" t="s">
        <v>132</v>
      </c>
    </row>
    <row r="2" spans="1:3" ht="12.75">
      <c r="A2" t="s">
        <v>98</v>
      </c>
      <c r="B2" s="64" t="s">
        <v>99</v>
      </c>
      <c r="C2" s="64" t="s">
        <v>177</v>
      </c>
    </row>
    <row r="3" spans="1:3" ht="12.75">
      <c r="A3">
        <v>12540004434</v>
      </c>
      <c r="B3" s="64" t="s">
        <v>166</v>
      </c>
      <c r="C3" s="65">
        <v>4</v>
      </c>
    </row>
    <row r="4" spans="1:3" ht="12.75">
      <c r="A4">
        <v>12540004811</v>
      </c>
      <c r="B4" s="64" t="s">
        <v>101</v>
      </c>
      <c r="C4" s="65">
        <v>-46339.9</v>
      </c>
    </row>
    <row r="5" spans="1:3" ht="12.75">
      <c r="A5">
        <v>12540004921</v>
      </c>
      <c r="B5" s="99" t="s">
        <v>193</v>
      </c>
      <c r="C5" s="100">
        <v>4425</v>
      </c>
    </row>
    <row r="6" spans="1:3" ht="12.75">
      <c r="A6">
        <v>12540005210</v>
      </c>
      <c r="B6" s="64" t="s">
        <v>194</v>
      </c>
      <c r="C6" s="65">
        <v>12000</v>
      </c>
    </row>
    <row r="7" spans="1:3" ht="12.75">
      <c r="A7">
        <v>12540007112</v>
      </c>
      <c r="B7" s="64" t="s">
        <v>118</v>
      </c>
      <c r="C7" s="65">
        <v>6206.39</v>
      </c>
    </row>
    <row r="8" spans="1:3" ht="12.75">
      <c r="A8">
        <v>12540007160</v>
      </c>
      <c r="B8" s="64" t="s">
        <v>108</v>
      </c>
      <c r="C8" s="65">
        <v>17931.39</v>
      </c>
    </row>
    <row r="9" spans="1:3" ht="12.75">
      <c r="A9">
        <v>12540007255</v>
      </c>
      <c r="B9" s="64" t="s">
        <v>102</v>
      </c>
      <c r="C9" s="65">
        <v>7572.23</v>
      </c>
    </row>
    <row r="10" spans="1:3" ht="12.75">
      <c r="A10">
        <v>12540007262</v>
      </c>
      <c r="B10" s="64" t="s">
        <v>100</v>
      </c>
      <c r="C10" s="65">
        <v>497699.92</v>
      </c>
    </row>
    <row r="11" spans="1:3" ht="12.75">
      <c r="A11">
        <v>12540009339</v>
      </c>
      <c r="B11" s="64" t="s">
        <v>103</v>
      </c>
      <c r="C11" s="64">
        <v>-11.5</v>
      </c>
    </row>
    <row r="12" spans="1:3" ht="12.75">
      <c r="A12">
        <v>12540009428</v>
      </c>
      <c r="B12" s="64" t="s">
        <v>167</v>
      </c>
      <c r="C12" s="65">
        <v>-9559.25</v>
      </c>
    </row>
    <row r="13" spans="1:3" ht="12.75">
      <c r="A13">
        <v>12540009450</v>
      </c>
      <c r="B13" s="64" t="s">
        <v>104</v>
      </c>
      <c r="C13" s="65">
        <v>-9292.45</v>
      </c>
    </row>
    <row r="14" spans="1:3" ht="12.75">
      <c r="A14">
        <v>12540009462</v>
      </c>
      <c r="B14" s="64" t="s">
        <v>168</v>
      </c>
      <c r="C14" s="65">
        <v>-301389.67</v>
      </c>
    </row>
    <row r="15" spans="2:3" ht="12.75">
      <c r="B15" s="53" t="s">
        <v>73</v>
      </c>
      <c r="C15" s="67">
        <f>SUM(C3:C14)</f>
        <v>179246.15999999997</v>
      </c>
    </row>
  </sheetData>
  <sheetProtection/>
  <autoFilter ref="A2:C14"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&amp;C&amp;F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0"/>
  <sheetViews>
    <sheetView zoomScalePageLayoutView="0" workbookViewId="0" topLeftCell="A1">
      <selection activeCell="T21" sqref="T21"/>
    </sheetView>
  </sheetViews>
  <sheetFormatPr defaultColWidth="8.7109375" defaultRowHeight="12.75"/>
  <cols>
    <col min="1" max="1" width="9.140625" style="8" customWidth="1"/>
    <col min="2" max="2" width="28.57421875" style="8" customWidth="1"/>
    <col min="3" max="3" width="10.57421875" style="5" bestFit="1" customWidth="1"/>
    <col min="4" max="4" width="8.421875" style="1" customWidth="1"/>
    <col min="5" max="5" width="4.00390625" style="39" hidden="1" customWidth="1"/>
    <col min="6" max="6" width="7.57421875" style="6" customWidth="1"/>
    <col min="7" max="7" width="0.13671875" style="37" hidden="1" customWidth="1"/>
    <col min="8" max="8" width="9.8515625" style="6" customWidth="1"/>
    <col min="9" max="9" width="3.421875" style="37" hidden="1" customWidth="1"/>
    <col min="10" max="10" width="8.57421875" style="6" customWidth="1"/>
    <col min="11" max="11" width="4.00390625" style="37" hidden="1" customWidth="1"/>
    <col min="12" max="12" width="8.7109375" style="6" customWidth="1"/>
    <col min="13" max="13" width="5.7109375" style="37" hidden="1" customWidth="1"/>
    <col min="14" max="14" width="8.57421875" style="6" customWidth="1"/>
    <col min="15" max="15" width="7.8515625" style="37" hidden="1" customWidth="1"/>
    <col min="16" max="16" width="8.7109375" style="6" customWidth="1"/>
    <col min="17" max="17" width="4.00390625" style="37" hidden="1" customWidth="1"/>
    <col min="18" max="18" width="8.57421875" style="6" customWidth="1"/>
    <col min="19" max="19" width="4.00390625" style="37" hidden="1" customWidth="1"/>
    <col min="20" max="20" width="8.7109375" style="6" customWidth="1"/>
    <col min="21" max="21" width="8.7109375" style="37" hidden="1" customWidth="1"/>
    <col min="22" max="22" width="10.8515625" style="6" customWidth="1"/>
    <col min="23" max="23" width="7.8515625" style="37" hidden="1" customWidth="1"/>
    <col min="24" max="24" width="8.7109375" style="6" customWidth="1"/>
    <col min="25" max="25" width="4.00390625" style="37" hidden="1" customWidth="1"/>
    <col min="26" max="26" width="10.00390625" style="6" customWidth="1"/>
    <col min="27" max="27" width="4.00390625" style="37" hidden="1" customWidth="1"/>
    <col min="28" max="28" width="8.7109375" style="6" customWidth="1"/>
    <col min="29" max="29" width="4.00390625" style="37" hidden="1" customWidth="1"/>
    <col min="30" max="30" width="8.57421875" style="6" customWidth="1"/>
    <col min="31" max="31" width="9.8515625" style="37" hidden="1" customWidth="1"/>
    <col min="32" max="32" width="8.7109375" style="6" customWidth="1"/>
    <col min="33" max="33" width="10.57421875" style="37" hidden="1" customWidth="1"/>
    <col min="34" max="34" width="10.57421875" style="6" customWidth="1"/>
    <col min="35" max="35" width="8.421875" style="37" hidden="1" customWidth="1"/>
    <col min="36" max="36" width="8.421875" style="6" customWidth="1"/>
    <col min="37" max="37" width="9.00390625" style="37" hidden="1" customWidth="1"/>
    <col min="38" max="38" width="9.00390625" style="6" customWidth="1"/>
    <col min="39" max="39" width="9.00390625" style="37" hidden="1" customWidth="1"/>
    <col min="40" max="40" width="8.8515625" style="6" customWidth="1"/>
    <col min="41" max="41" width="7.8515625" style="6" customWidth="1"/>
    <col min="42" max="42" width="8.7109375" style="6" customWidth="1"/>
    <col min="43" max="43" width="8.7109375" style="8" customWidth="1"/>
    <col min="44" max="44" width="10.00390625" style="8" customWidth="1"/>
    <col min="45" max="174" width="8.7109375" style="8" customWidth="1"/>
    <col min="175" max="175" width="9.57421875" style="8" customWidth="1"/>
    <col min="176" max="16384" width="8.7109375" style="8" customWidth="1"/>
  </cols>
  <sheetData>
    <row r="1" spans="1:42" ht="16.5" customHeight="1">
      <c r="A1" s="4"/>
      <c r="B1" s="4"/>
      <c r="AP1" s="7"/>
    </row>
    <row r="2" spans="1:39" ht="12" thickBot="1">
      <c r="A2" s="9" t="s">
        <v>30</v>
      </c>
      <c r="D2" s="1" t="s">
        <v>0</v>
      </c>
      <c r="E2" s="37"/>
      <c r="F2" s="6" t="s">
        <v>1</v>
      </c>
      <c r="H2" s="6" t="s">
        <v>2</v>
      </c>
      <c r="J2" s="6" t="s">
        <v>60</v>
      </c>
      <c r="L2" s="6" t="s">
        <v>4</v>
      </c>
      <c r="N2" s="6" t="s">
        <v>129</v>
      </c>
      <c r="P2" s="6" t="s">
        <v>78</v>
      </c>
      <c r="R2" s="6" t="s">
        <v>6</v>
      </c>
      <c r="T2" s="6" t="s">
        <v>32</v>
      </c>
      <c r="V2" s="6" t="s">
        <v>32</v>
      </c>
      <c r="X2" s="6" t="s">
        <v>7</v>
      </c>
      <c r="Z2" s="6" t="s">
        <v>35</v>
      </c>
      <c r="AB2" s="6" t="s">
        <v>96</v>
      </c>
      <c r="AD2" s="6" t="s">
        <v>85</v>
      </c>
      <c r="AE2" s="37" t="s">
        <v>8</v>
      </c>
      <c r="AF2" s="6" t="s">
        <v>84</v>
      </c>
      <c r="AG2" s="37" t="s">
        <v>3</v>
      </c>
      <c r="AH2" s="6" t="s">
        <v>83</v>
      </c>
      <c r="AI2" s="37" t="s">
        <v>9</v>
      </c>
      <c r="AJ2" s="6" t="s">
        <v>80</v>
      </c>
      <c r="AK2" s="37" t="s">
        <v>10</v>
      </c>
      <c r="AL2" s="6" t="s">
        <v>81</v>
      </c>
      <c r="AM2" s="37" t="s">
        <v>10</v>
      </c>
    </row>
    <row r="3" spans="1:39" ht="12" thickBot="1">
      <c r="A3" s="12" t="s">
        <v>195</v>
      </c>
      <c r="B3" s="10"/>
      <c r="D3" s="13" t="s">
        <v>11</v>
      </c>
      <c r="E3" s="37"/>
      <c r="F3" s="11" t="s">
        <v>12</v>
      </c>
      <c r="H3" s="6" t="s">
        <v>13</v>
      </c>
      <c r="J3" s="6" t="s">
        <v>14</v>
      </c>
      <c r="L3" s="6" t="s">
        <v>5</v>
      </c>
      <c r="N3" s="6" t="s">
        <v>130</v>
      </c>
      <c r="P3" s="6" t="s">
        <v>6</v>
      </c>
      <c r="R3" s="6" t="s">
        <v>76</v>
      </c>
      <c r="T3" s="6" t="s">
        <v>33</v>
      </c>
      <c r="V3" s="6" t="s">
        <v>34</v>
      </c>
      <c r="X3" s="6" t="s">
        <v>14</v>
      </c>
      <c r="Z3" s="11" t="s">
        <v>36</v>
      </c>
      <c r="AD3" s="6" t="s">
        <v>15</v>
      </c>
      <c r="AE3" s="37" t="s">
        <v>15</v>
      </c>
      <c r="AF3" s="6" t="s">
        <v>16</v>
      </c>
      <c r="AG3" s="37" t="s">
        <v>16</v>
      </c>
      <c r="AH3" s="6" t="s">
        <v>64</v>
      </c>
      <c r="AI3" s="37" t="s">
        <v>17</v>
      </c>
      <c r="AK3" s="37" t="s">
        <v>18</v>
      </c>
      <c r="AL3" s="6" t="s">
        <v>82</v>
      </c>
      <c r="AM3" s="37" t="s">
        <v>18</v>
      </c>
    </row>
    <row r="4" spans="1:41" ht="12" thickBot="1">
      <c r="A4" s="14" t="s">
        <v>77</v>
      </c>
      <c r="B4" s="15" t="s">
        <v>19</v>
      </c>
      <c r="C4" s="30"/>
      <c r="D4" s="17">
        <v>1183000</v>
      </c>
      <c r="E4" s="42"/>
      <c r="F4" s="17">
        <v>1175000</v>
      </c>
      <c r="G4" s="42"/>
      <c r="H4" s="17">
        <v>1180</v>
      </c>
      <c r="I4" s="38"/>
      <c r="J4" s="17">
        <v>1313002</v>
      </c>
      <c r="K4" s="38"/>
      <c r="L4" s="16" t="s">
        <v>66</v>
      </c>
      <c r="M4" s="38"/>
      <c r="N4" s="17">
        <v>1254000</v>
      </c>
      <c r="O4" s="42"/>
      <c r="P4" s="17">
        <v>1252000</v>
      </c>
      <c r="Q4" s="42"/>
      <c r="R4" s="17">
        <v>1252002</v>
      </c>
      <c r="S4" s="42"/>
      <c r="T4" s="17">
        <v>1254000</v>
      </c>
      <c r="U4" s="42"/>
      <c r="V4" s="17">
        <v>1254000</v>
      </c>
      <c r="W4" s="38"/>
      <c r="X4" s="17">
        <v>1404000</v>
      </c>
      <c r="Y4" s="38"/>
      <c r="Z4" s="17">
        <v>1416002</v>
      </c>
      <c r="AA4" s="38"/>
      <c r="AB4" s="56" t="s">
        <v>97</v>
      </c>
      <c r="AD4" s="17">
        <v>1255001</v>
      </c>
      <c r="AE4" s="42" t="s">
        <v>20</v>
      </c>
      <c r="AF4" s="17">
        <v>1460430</v>
      </c>
      <c r="AG4" s="38" t="s">
        <v>21</v>
      </c>
      <c r="AH4" s="17" t="s">
        <v>65</v>
      </c>
      <c r="AI4" s="38" t="s">
        <v>22</v>
      </c>
      <c r="AJ4" s="55" t="s">
        <v>127</v>
      </c>
      <c r="AK4" s="38" t="s">
        <v>23</v>
      </c>
      <c r="AL4" s="18" t="s">
        <v>79</v>
      </c>
      <c r="AM4" s="38" t="s">
        <v>23</v>
      </c>
      <c r="AN4" s="16" t="s">
        <v>24</v>
      </c>
      <c r="AO4" s="16" t="s">
        <v>28</v>
      </c>
    </row>
    <row r="5" spans="1:39" ht="12" thickBot="1">
      <c r="A5" s="19" t="s">
        <v>31</v>
      </c>
      <c r="B5" s="20" t="s">
        <v>25</v>
      </c>
      <c r="C5" s="5" t="s">
        <v>128</v>
      </c>
      <c r="F5" s="1"/>
      <c r="G5" s="39"/>
      <c r="H5" s="1"/>
      <c r="I5" s="39"/>
      <c r="J5" s="1"/>
      <c r="K5" s="39"/>
      <c r="L5" s="1"/>
      <c r="M5" s="39"/>
      <c r="N5" s="1"/>
      <c r="O5" s="39"/>
      <c r="P5" s="1"/>
      <c r="Q5" s="39"/>
      <c r="R5" s="1"/>
      <c r="S5" s="39"/>
      <c r="T5" s="1"/>
      <c r="U5" s="39"/>
      <c r="V5" s="1"/>
      <c r="W5" s="39"/>
      <c r="X5" s="1"/>
      <c r="Y5" s="39"/>
      <c r="Z5" s="1"/>
      <c r="AA5" s="39"/>
      <c r="AB5" s="1"/>
      <c r="AD5" s="1"/>
      <c r="AE5" s="39"/>
      <c r="AF5" s="1"/>
      <c r="AG5" s="39"/>
      <c r="AH5" s="1"/>
      <c r="AI5" s="39"/>
      <c r="AJ5" s="1"/>
      <c r="AK5" s="39"/>
      <c r="AL5" s="1"/>
      <c r="AM5" s="39"/>
    </row>
    <row r="6" spans="1:39" ht="9.75" customHeight="1">
      <c r="A6" s="21" t="s">
        <v>26</v>
      </c>
      <c r="B6" s="10"/>
      <c r="C6" s="29"/>
      <c r="F6" s="1"/>
      <c r="G6" s="39"/>
      <c r="H6" s="1"/>
      <c r="I6" s="39"/>
      <c r="J6" s="1"/>
      <c r="K6" s="39"/>
      <c r="L6" s="1"/>
      <c r="M6" s="39"/>
      <c r="N6" s="1"/>
      <c r="O6" s="39"/>
      <c r="P6" s="1"/>
      <c r="Q6" s="39"/>
      <c r="R6" s="1"/>
      <c r="S6" s="39"/>
      <c r="T6" s="1"/>
      <c r="U6" s="39"/>
      <c r="V6" s="1"/>
      <c r="W6" s="39"/>
      <c r="X6" s="1"/>
      <c r="Y6" s="39"/>
      <c r="Z6" s="1"/>
      <c r="AA6" s="39"/>
      <c r="AB6" s="1"/>
      <c r="AC6" s="39"/>
      <c r="AD6" s="1"/>
      <c r="AE6" s="39"/>
      <c r="AF6" s="1"/>
      <c r="AG6" s="39"/>
      <c r="AH6" s="1"/>
      <c r="AI6" s="39"/>
      <c r="AJ6" s="1"/>
      <c r="AK6" s="39"/>
      <c r="AL6" s="1"/>
      <c r="AM6" s="39"/>
    </row>
    <row r="7" spans="1:39" ht="6" customHeight="1">
      <c r="A7" s="5"/>
      <c r="B7" s="5"/>
      <c r="C7" s="29"/>
      <c r="F7" s="1"/>
      <c r="G7" s="39"/>
      <c r="H7" s="1"/>
      <c r="I7" s="39"/>
      <c r="J7" s="1"/>
      <c r="K7" s="39"/>
      <c r="L7" s="1"/>
      <c r="M7" s="39"/>
      <c r="N7" s="1"/>
      <c r="O7" s="39"/>
      <c r="P7" s="1"/>
      <c r="Q7" s="39"/>
      <c r="R7" s="1"/>
      <c r="S7" s="39"/>
      <c r="T7" s="1"/>
      <c r="U7" s="39"/>
      <c r="V7" s="1"/>
      <c r="W7" s="39"/>
      <c r="X7" s="1"/>
      <c r="Y7" s="39"/>
      <c r="Z7" s="1"/>
      <c r="AA7" s="39"/>
      <c r="AB7" s="1"/>
      <c r="AC7" s="39"/>
      <c r="AD7" s="1"/>
      <c r="AE7" s="39"/>
      <c r="AF7" s="1"/>
      <c r="AG7" s="39"/>
      <c r="AH7" s="1"/>
      <c r="AI7" s="39"/>
      <c r="AJ7" s="1"/>
      <c r="AK7" s="39"/>
      <c r="AL7" s="1"/>
      <c r="AM7" s="39"/>
    </row>
    <row r="8" spans="1:41" ht="11.25">
      <c r="A8" s="44" t="s">
        <v>88</v>
      </c>
      <c r="B8" s="8" t="s">
        <v>37</v>
      </c>
      <c r="C8" s="68">
        <v>55717</v>
      </c>
      <c r="D8" s="1">
        <v>0</v>
      </c>
      <c r="E8" s="6">
        <f>SUM(D8*$C$8/100)</f>
        <v>0</v>
      </c>
      <c r="F8" s="1">
        <v>0</v>
      </c>
      <c r="G8" s="6">
        <f aca="true" t="shared" si="0" ref="G8:G14">SUM(F8/100*$C8)</f>
        <v>0</v>
      </c>
      <c r="H8" s="1"/>
      <c r="I8" s="6">
        <f aca="true" t="shared" si="1" ref="I8:I14">SUM(H8/100*$C8)</f>
        <v>0</v>
      </c>
      <c r="J8" s="1"/>
      <c r="K8" s="6">
        <f aca="true" t="shared" si="2" ref="K8:K14">SUM(J8/100*$C8)</f>
        <v>0</v>
      </c>
      <c r="L8" s="6">
        <v>0</v>
      </c>
      <c r="M8" s="6">
        <f aca="true" t="shared" si="3" ref="M8:M14">SUM(L8/100*$C8)</f>
        <v>0</v>
      </c>
      <c r="N8" s="1">
        <v>9</v>
      </c>
      <c r="O8" s="6">
        <f aca="true" t="shared" si="4" ref="O8:O14">SUM(N8/100*$C8)</f>
        <v>5014.53</v>
      </c>
      <c r="P8" s="1"/>
      <c r="Q8" s="6">
        <f aca="true" t="shared" si="5" ref="Q8:Q14">SUM(P8/100*$C8)</f>
        <v>0</v>
      </c>
      <c r="R8" s="1"/>
      <c r="S8" s="6">
        <f aca="true" t="shared" si="6" ref="S8:S14">SUM(R8/100*$C8)</f>
        <v>0</v>
      </c>
      <c r="T8" s="1">
        <v>79</v>
      </c>
      <c r="U8" s="6">
        <f aca="true" t="shared" si="7" ref="U8:U14">SUM(T8/100*$C8)</f>
        <v>44016.43</v>
      </c>
      <c r="V8" s="1">
        <v>12</v>
      </c>
      <c r="W8" s="6">
        <f aca="true" t="shared" si="8" ref="W8:W14">SUM(V8/100*$C8)</f>
        <v>6686.04</v>
      </c>
      <c r="X8" s="1"/>
      <c r="Y8" s="6">
        <f aca="true" t="shared" si="9" ref="Y8:Y14">SUM(X8/100*$C8)</f>
        <v>0</v>
      </c>
      <c r="Z8" s="1"/>
      <c r="AA8" s="6">
        <f aca="true" t="shared" si="10" ref="AA8:AA14">SUM(Z8/100*$C8)</f>
        <v>0</v>
      </c>
      <c r="AB8" s="1"/>
      <c r="AC8" s="6">
        <f aca="true" t="shared" si="11" ref="AC8:AC14">SUM(AB8/100*$C8)</f>
        <v>0</v>
      </c>
      <c r="AD8" s="1">
        <v>0</v>
      </c>
      <c r="AE8" s="6">
        <f aca="true" t="shared" si="12" ref="AE8:AE14">SUM(AD8/100*$C8)</f>
        <v>0</v>
      </c>
      <c r="AF8" s="1">
        <v>0</v>
      </c>
      <c r="AG8" s="6">
        <f aca="true" t="shared" si="13" ref="AG8:AG14">SUM(AF8/100*$C8)</f>
        <v>0</v>
      </c>
      <c r="AH8" s="1"/>
      <c r="AI8" s="6">
        <f aca="true" t="shared" si="14" ref="AI8:AI14">SUM(AH8/100*$C8)</f>
        <v>0</v>
      </c>
      <c r="AJ8" s="1"/>
      <c r="AK8" s="6">
        <f aca="true" t="shared" si="15" ref="AK8:AK14">SUM(AJ8/100*$C8)</f>
        <v>0</v>
      </c>
      <c r="AL8" s="1"/>
      <c r="AM8" s="6">
        <f aca="true" t="shared" si="16" ref="AM8:AM15">SUM(AL8/100*$C8)</f>
        <v>0</v>
      </c>
      <c r="AN8" s="6">
        <f aca="true" t="shared" si="17" ref="AN8:AN14">+F8+H8+J8+R8+T8+V8+X8+Z8+AD8+AF8+AH8+AJ8+AB8+P8+N8+L8+AL8+D8</f>
        <v>100</v>
      </c>
      <c r="AO8" s="6">
        <f aca="true" t="shared" si="18" ref="AO8:AO14">+G8+I8+K8+S8+U8+W8+Y8+AA8+AE8+AG8+AI8+AK8</f>
        <v>50702.47</v>
      </c>
    </row>
    <row r="9" spans="1:41" ht="11.25">
      <c r="A9" s="44" t="s">
        <v>169</v>
      </c>
      <c r="B9" s="8" t="s">
        <v>92</v>
      </c>
      <c r="C9" s="68">
        <v>29235</v>
      </c>
      <c r="E9" s="6">
        <f>SUM(D9*$C$9/100)</f>
        <v>0</v>
      </c>
      <c r="F9" s="1">
        <v>0</v>
      </c>
      <c r="G9" s="6">
        <f t="shared" si="0"/>
        <v>0</v>
      </c>
      <c r="H9" s="1"/>
      <c r="I9" s="6">
        <f t="shared" si="1"/>
        <v>0</v>
      </c>
      <c r="J9" s="1"/>
      <c r="K9" s="6">
        <f t="shared" si="2"/>
        <v>0</v>
      </c>
      <c r="M9" s="6">
        <f t="shared" si="3"/>
        <v>0</v>
      </c>
      <c r="N9" s="1">
        <v>9</v>
      </c>
      <c r="O9" s="6">
        <f t="shared" si="4"/>
        <v>2631.15</v>
      </c>
      <c r="P9" s="1"/>
      <c r="Q9" s="6">
        <f t="shared" si="5"/>
        <v>0</v>
      </c>
      <c r="R9" s="1"/>
      <c r="S9" s="6">
        <f t="shared" si="6"/>
        <v>0</v>
      </c>
      <c r="T9" s="1">
        <v>79</v>
      </c>
      <c r="U9" s="6">
        <f t="shared" si="7"/>
        <v>23095.65</v>
      </c>
      <c r="V9" s="1">
        <v>12</v>
      </c>
      <c r="W9" s="6">
        <f t="shared" si="8"/>
        <v>3508.2</v>
      </c>
      <c r="X9" s="1"/>
      <c r="Y9" s="6">
        <f t="shared" si="9"/>
        <v>0</v>
      </c>
      <c r="Z9" s="1"/>
      <c r="AA9" s="6">
        <f t="shared" si="10"/>
        <v>0</v>
      </c>
      <c r="AB9" s="1"/>
      <c r="AC9" s="6">
        <f t="shared" si="11"/>
        <v>0</v>
      </c>
      <c r="AD9" s="1">
        <v>0</v>
      </c>
      <c r="AE9" s="6">
        <f t="shared" si="12"/>
        <v>0</v>
      </c>
      <c r="AF9" s="1">
        <v>0</v>
      </c>
      <c r="AG9" s="6">
        <f t="shared" si="13"/>
        <v>0</v>
      </c>
      <c r="AH9" s="1"/>
      <c r="AI9" s="6">
        <f t="shared" si="14"/>
        <v>0</v>
      </c>
      <c r="AJ9" s="1"/>
      <c r="AK9" s="6">
        <f t="shared" si="15"/>
        <v>0</v>
      </c>
      <c r="AL9" s="1"/>
      <c r="AM9" s="6">
        <f t="shared" si="16"/>
        <v>0</v>
      </c>
      <c r="AN9" s="6">
        <f t="shared" si="17"/>
        <v>100</v>
      </c>
      <c r="AO9" s="6">
        <f t="shared" si="18"/>
        <v>26603.850000000002</v>
      </c>
    </row>
    <row r="10" spans="1:41" ht="11.25">
      <c r="A10" s="44" t="s">
        <v>87</v>
      </c>
      <c r="B10" s="8" t="s">
        <v>27</v>
      </c>
      <c r="C10" s="68">
        <v>48001</v>
      </c>
      <c r="E10" s="6">
        <f>SUM(D10*$C$10/100)</f>
        <v>0</v>
      </c>
      <c r="F10" s="1">
        <v>0</v>
      </c>
      <c r="G10" s="6">
        <f t="shared" si="0"/>
        <v>0</v>
      </c>
      <c r="H10" s="1"/>
      <c r="I10" s="6">
        <f t="shared" si="1"/>
        <v>0</v>
      </c>
      <c r="J10" s="1"/>
      <c r="K10" s="6">
        <f t="shared" si="2"/>
        <v>0</v>
      </c>
      <c r="L10" s="6">
        <v>0</v>
      </c>
      <c r="M10" s="6">
        <f t="shared" si="3"/>
        <v>0</v>
      </c>
      <c r="N10" s="1">
        <v>9</v>
      </c>
      <c r="O10" s="6">
        <f t="shared" si="4"/>
        <v>4320.09</v>
      </c>
      <c r="P10" s="1"/>
      <c r="Q10" s="6">
        <f t="shared" si="5"/>
        <v>0</v>
      </c>
      <c r="R10" s="1"/>
      <c r="S10" s="6">
        <f t="shared" si="6"/>
        <v>0</v>
      </c>
      <c r="T10" s="1">
        <v>79</v>
      </c>
      <c r="U10" s="6">
        <f t="shared" si="7"/>
        <v>37920.79</v>
      </c>
      <c r="V10" s="1">
        <v>12</v>
      </c>
      <c r="W10" s="6">
        <f t="shared" si="8"/>
        <v>5760.12</v>
      </c>
      <c r="X10" s="1">
        <v>0</v>
      </c>
      <c r="Y10" s="6">
        <f t="shared" si="9"/>
        <v>0</v>
      </c>
      <c r="Z10" s="1">
        <v>0</v>
      </c>
      <c r="AA10" s="6">
        <f t="shared" si="10"/>
        <v>0</v>
      </c>
      <c r="AB10" s="1">
        <v>0</v>
      </c>
      <c r="AC10" s="6">
        <f t="shared" si="11"/>
        <v>0</v>
      </c>
      <c r="AD10" s="1">
        <v>0</v>
      </c>
      <c r="AE10" s="6">
        <f t="shared" si="12"/>
        <v>0</v>
      </c>
      <c r="AF10" s="1">
        <v>0</v>
      </c>
      <c r="AG10" s="6">
        <f t="shared" si="13"/>
        <v>0</v>
      </c>
      <c r="AH10" s="1">
        <v>0</v>
      </c>
      <c r="AI10" s="6">
        <f t="shared" si="14"/>
        <v>0</v>
      </c>
      <c r="AJ10" s="1">
        <v>0</v>
      </c>
      <c r="AK10" s="6">
        <f t="shared" si="15"/>
        <v>0</v>
      </c>
      <c r="AL10" s="1"/>
      <c r="AM10" s="6">
        <f t="shared" si="16"/>
        <v>0</v>
      </c>
      <c r="AN10" s="6">
        <f t="shared" si="17"/>
        <v>100</v>
      </c>
      <c r="AO10" s="6">
        <f t="shared" si="18"/>
        <v>43680.91</v>
      </c>
    </row>
    <row r="11" spans="1:41" ht="11.25">
      <c r="A11" s="44" t="s">
        <v>147</v>
      </c>
      <c r="B11" s="8" t="s">
        <v>27</v>
      </c>
      <c r="C11" s="68">
        <v>40679</v>
      </c>
      <c r="E11" s="6">
        <f>SUM(D11*$C$11/100)</f>
        <v>0</v>
      </c>
      <c r="F11" s="1">
        <v>0</v>
      </c>
      <c r="G11" s="6">
        <f t="shared" si="0"/>
        <v>0</v>
      </c>
      <c r="H11" s="1"/>
      <c r="I11" s="6">
        <f t="shared" si="1"/>
        <v>0</v>
      </c>
      <c r="J11" s="1"/>
      <c r="K11" s="6">
        <f t="shared" si="2"/>
        <v>0</v>
      </c>
      <c r="M11" s="6">
        <f t="shared" si="3"/>
        <v>0</v>
      </c>
      <c r="N11" s="1">
        <v>9</v>
      </c>
      <c r="O11" s="6">
        <f t="shared" si="4"/>
        <v>3661.1099999999997</v>
      </c>
      <c r="P11" s="1"/>
      <c r="Q11" s="6">
        <f t="shared" si="5"/>
        <v>0</v>
      </c>
      <c r="R11" s="1"/>
      <c r="S11" s="6">
        <f t="shared" si="6"/>
        <v>0</v>
      </c>
      <c r="T11" s="1">
        <v>79</v>
      </c>
      <c r="U11" s="6">
        <f t="shared" si="7"/>
        <v>32136.41</v>
      </c>
      <c r="V11" s="1">
        <v>12</v>
      </c>
      <c r="W11" s="6">
        <f t="shared" si="8"/>
        <v>4881.48</v>
      </c>
      <c r="X11" s="1"/>
      <c r="Y11" s="6">
        <f t="shared" si="9"/>
        <v>0</v>
      </c>
      <c r="Z11" s="1">
        <v>0</v>
      </c>
      <c r="AA11" s="6">
        <f t="shared" si="10"/>
        <v>0</v>
      </c>
      <c r="AB11" s="1">
        <v>0</v>
      </c>
      <c r="AC11" s="6">
        <f t="shared" si="11"/>
        <v>0</v>
      </c>
      <c r="AD11" s="1">
        <v>0</v>
      </c>
      <c r="AE11" s="6">
        <f t="shared" si="12"/>
        <v>0</v>
      </c>
      <c r="AF11" s="1">
        <v>0</v>
      </c>
      <c r="AG11" s="6">
        <f t="shared" si="13"/>
        <v>0</v>
      </c>
      <c r="AH11" s="1">
        <v>0</v>
      </c>
      <c r="AI11" s="6">
        <f t="shared" si="14"/>
        <v>0</v>
      </c>
      <c r="AJ11" s="1"/>
      <c r="AK11" s="6">
        <f t="shared" si="15"/>
        <v>0</v>
      </c>
      <c r="AL11" s="1"/>
      <c r="AM11" s="6">
        <f t="shared" si="16"/>
        <v>0</v>
      </c>
      <c r="AN11" s="6">
        <f t="shared" si="17"/>
        <v>100</v>
      </c>
      <c r="AO11" s="6">
        <f t="shared" si="18"/>
        <v>37017.89</v>
      </c>
    </row>
    <row r="12" spans="1:41" ht="11.25">
      <c r="A12" s="44" t="s">
        <v>147</v>
      </c>
      <c r="B12" s="8" t="s">
        <v>27</v>
      </c>
      <c r="C12" s="68">
        <v>40679</v>
      </c>
      <c r="E12" s="6">
        <f>SUM(D12*$C$12/100)</f>
        <v>0</v>
      </c>
      <c r="F12" s="1">
        <v>0</v>
      </c>
      <c r="G12" s="6">
        <f t="shared" si="0"/>
        <v>0</v>
      </c>
      <c r="H12" s="1"/>
      <c r="I12" s="6">
        <f t="shared" si="1"/>
        <v>0</v>
      </c>
      <c r="J12" s="1"/>
      <c r="K12" s="6">
        <f t="shared" si="2"/>
        <v>0</v>
      </c>
      <c r="M12" s="6">
        <f t="shared" si="3"/>
        <v>0</v>
      </c>
      <c r="N12" s="1">
        <v>9</v>
      </c>
      <c r="O12" s="6">
        <f t="shared" si="4"/>
        <v>3661.1099999999997</v>
      </c>
      <c r="P12" s="1"/>
      <c r="Q12" s="6">
        <f t="shared" si="5"/>
        <v>0</v>
      </c>
      <c r="R12" s="1"/>
      <c r="S12" s="6">
        <f t="shared" si="6"/>
        <v>0</v>
      </c>
      <c r="T12" s="1">
        <v>79</v>
      </c>
      <c r="U12" s="6">
        <f t="shared" si="7"/>
        <v>32136.41</v>
      </c>
      <c r="V12" s="1">
        <v>12</v>
      </c>
      <c r="W12" s="6">
        <f t="shared" si="8"/>
        <v>4881.48</v>
      </c>
      <c r="X12" s="1"/>
      <c r="Y12" s="6">
        <f t="shared" si="9"/>
        <v>0</v>
      </c>
      <c r="Z12" s="1">
        <v>0</v>
      </c>
      <c r="AA12" s="6">
        <f t="shared" si="10"/>
        <v>0</v>
      </c>
      <c r="AB12" s="1"/>
      <c r="AC12" s="6">
        <f t="shared" si="11"/>
        <v>0</v>
      </c>
      <c r="AD12" s="1">
        <v>0</v>
      </c>
      <c r="AE12" s="6">
        <f t="shared" si="12"/>
        <v>0</v>
      </c>
      <c r="AF12" s="1">
        <v>0</v>
      </c>
      <c r="AG12" s="6">
        <f t="shared" si="13"/>
        <v>0</v>
      </c>
      <c r="AH12" s="1"/>
      <c r="AI12" s="6">
        <f t="shared" si="14"/>
        <v>0</v>
      </c>
      <c r="AJ12" s="1"/>
      <c r="AK12" s="6">
        <f t="shared" si="15"/>
        <v>0</v>
      </c>
      <c r="AL12" s="1"/>
      <c r="AM12" s="6">
        <f t="shared" si="16"/>
        <v>0</v>
      </c>
      <c r="AN12" s="6">
        <f t="shared" si="17"/>
        <v>100</v>
      </c>
      <c r="AO12" s="6">
        <f t="shared" si="18"/>
        <v>37017.89</v>
      </c>
    </row>
    <row r="13" spans="1:41" ht="11.25">
      <c r="A13" s="44" t="s">
        <v>147</v>
      </c>
      <c r="B13" s="8" t="s">
        <v>27</v>
      </c>
      <c r="C13" s="68">
        <v>40679</v>
      </c>
      <c r="E13" s="6">
        <f>SUM(D13*$C$13/100)</f>
        <v>0</v>
      </c>
      <c r="F13" s="1">
        <v>0</v>
      </c>
      <c r="G13" s="6">
        <f t="shared" si="0"/>
        <v>0</v>
      </c>
      <c r="H13" s="1"/>
      <c r="I13" s="6">
        <f t="shared" si="1"/>
        <v>0</v>
      </c>
      <c r="J13" s="1"/>
      <c r="K13" s="6">
        <f t="shared" si="2"/>
        <v>0</v>
      </c>
      <c r="M13" s="6">
        <f t="shared" si="3"/>
        <v>0</v>
      </c>
      <c r="N13" s="1">
        <v>9</v>
      </c>
      <c r="O13" s="6">
        <f t="shared" si="4"/>
        <v>3661.1099999999997</v>
      </c>
      <c r="P13" s="1"/>
      <c r="Q13" s="6">
        <f t="shared" si="5"/>
        <v>0</v>
      </c>
      <c r="R13" s="1"/>
      <c r="S13" s="6">
        <f t="shared" si="6"/>
        <v>0</v>
      </c>
      <c r="T13" s="1">
        <v>79</v>
      </c>
      <c r="U13" s="6">
        <f t="shared" si="7"/>
        <v>32136.41</v>
      </c>
      <c r="V13" s="1">
        <v>12</v>
      </c>
      <c r="W13" s="6">
        <f t="shared" si="8"/>
        <v>4881.48</v>
      </c>
      <c r="X13" s="1"/>
      <c r="Y13" s="6">
        <f t="shared" si="9"/>
        <v>0</v>
      </c>
      <c r="Z13" s="1">
        <v>0</v>
      </c>
      <c r="AA13" s="6">
        <f t="shared" si="10"/>
        <v>0</v>
      </c>
      <c r="AB13" s="1"/>
      <c r="AC13" s="6">
        <f t="shared" si="11"/>
        <v>0</v>
      </c>
      <c r="AD13" s="1">
        <v>0</v>
      </c>
      <c r="AE13" s="6">
        <f t="shared" si="12"/>
        <v>0</v>
      </c>
      <c r="AF13" s="1">
        <v>0</v>
      </c>
      <c r="AG13" s="6">
        <f t="shared" si="13"/>
        <v>0</v>
      </c>
      <c r="AH13" s="1"/>
      <c r="AI13" s="6">
        <f t="shared" si="14"/>
        <v>0</v>
      </c>
      <c r="AJ13" s="1"/>
      <c r="AK13" s="6">
        <f t="shared" si="15"/>
        <v>0</v>
      </c>
      <c r="AL13" s="1"/>
      <c r="AM13" s="6">
        <f t="shared" si="16"/>
        <v>0</v>
      </c>
      <c r="AN13" s="6">
        <f t="shared" si="17"/>
        <v>100</v>
      </c>
      <c r="AO13" s="6">
        <f t="shared" si="18"/>
        <v>37017.89</v>
      </c>
    </row>
    <row r="14" spans="1:41" ht="11.25">
      <c r="A14" s="44" t="s">
        <v>109</v>
      </c>
      <c r="B14" s="8" t="s">
        <v>63</v>
      </c>
      <c r="C14" s="68">
        <v>32806</v>
      </c>
      <c r="E14" s="6">
        <f>SUM(D14*$C$14/100)</f>
        <v>0</v>
      </c>
      <c r="F14" s="1">
        <v>0</v>
      </c>
      <c r="G14" s="6">
        <f t="shared" si="0"/>
        <v>0</v>
      </c>
      <c r="H14" s="1"/>
      <c r="I14" s="6">
        <f t="shared" si="1"/>
        <v>0</v>
      </c>
      <c r="J14" s="1"/>
      <c r="K14" s="6">
        <f t="shared" si="2"/>
        <v>0</v>
      </c>
      <c r="M14" s="6">
        <f t="shared" si="3"/>
        <v>0</v>
      </c>
      <c r="N14" s="1">
        <v>9</v>
      </c>
      <c r="O14" s="6">
        <f t="shared" si="4"/>
        <v>2952.54</v>
      </c>
      <c r="P14" s="1"/>
      <c r="Q14" s="6">
        <f t="shared" si="5"/>
        <v>0</v>
      </c>
      <c r="R14" s="1"/>
      <c r="S14" s="6">
        <f t="shared" si="6"/>
        <v>0</v>
      </c>
      <c r="T14" s="1">
        <v>79</v>
      </c>
      <c r="U14" s="6">
        <f t="shared" si="7"/>
        <v>25916.74</v>
      </c>
      <c r="V14" s="1">
        <v>12</v>
      </c>
      <c r="W14" s="6">
        <f t="shared" si="8"/>
        <v>3936.72</v>
      </c>
      <c r="X14" s="1"/>
      <c r="Y14" s="6">
        <f t="shared" si="9"/>
        <v>0</v>
      </c>
      <c r="Z14" s="1"/>
      <c r="AA14" s="6">
        <f t="shared" si="10"/>
        <v>0</v>
      </c>
      <c r="AB14" s="1"/>
      <c r="AC14" s="6">
        <f t="shared" si="11"/>
        <v>0</v>
      </c>
      <c r="AD14" s="1">
        <v>0</v>
      </c>
      <c r="AE14" s="6">
        <f t="shared" si="12"/>
        <v>0</v>
      </c>
      <c r="AF14" s="1">
        <v>0</v>
      </c>
      <c r="AG14" s="6">
        <f t="shared" si="13"/>
        <v>0</v>
      </c>
      <c r="AH14" s="1"/>
      <c r="AI14" s="6">
        <f t="shared" si="14"/>
        <v>0</v>
      </c>
      <c r="AJ14" s="1"/>
      <c r="AK14" s="6">
        <f t="shared" si="15"/>
        <v>0</v>
      </c>
      <c r="AL14" s="1"/>
      <c r="AM14" s="6">
        <f t="shared" si="16"/>
        <v>0</v>
      </c>
      <c r="AN14" s="6">
        <f t="shared" si="17"/>
        <v>100</v>
      </c>
      <c r="AO14" s="6">
        <f t="shared" si="18"/>
        <v>29853.460000000003</v>
      </c>
    </row>
    <row r="15" spans="1:41" ht="11.25">
      <c r="A15" s="44" t="s">
        <v>86</v>
      </c>
      <c r="B15" s="8" t="s">
        <v>131</v>
      </c>
      <c r="C15" s="68">
        <v>27790</v>
      </c>
      <c r="E15" s="6">
        <f>SUM(D15*$C$17/100)</f>
        <v>0</v>
      </c>
      <c r="F15" s="1">
        <v>0</v>
      </c>
      <c r="G15" s="6">
        <f>SUM(F15/100*$C15)</f>
        <v>0</v>
      </c>
      <c r="H15" s="1"/>
      <c r="I15" s="6">
        <f>SUM(H15/100*$C15)</f>
        <v>0</v>
      </c>
      <c r="J15" s="1"/>
      <c r="K15" s="6">
        <f>SUM(J15/100*$C15)</f>
        <v>0</v>
      </c>
      <c r="M15" s="6">
        <f>SUM(L15/100*$C15)</f>
        <v>0</v>
      </c>
      <c r="N15" s="1">
        <v>9</v>
      </c>
      <c r="O15" s="6">
        <f>SUM(N15/100*$C15)</f>
        <v>2501.1</v>
      </c>
      <c r="P15" s="1"/>
      <c r="Q15" s="6">
        <f>SUM(P15/100*$C15)</f>
        <v>0</v>
      </c>
      <c r="R15" s="1"/>
      <c r="S15" s="6">
        <f>SUM(R15/100*$C15)</f>
        <v>0</v>
      </c>
      <c r="T15" s="1">
        <v>79</v>
      </c>
      <c r="U15" s="6">
        <f>SUM(T15/100*$C15)</f>
        <v>21954.100000000002</v>
      </c>
      <c r="V15" s="1">
        <v>12</v>
      </c>
      <c r="W15" s="6">
        <f>SUM(V15/100*$C15)</f>
        <v>3334.7999999999997</v>
      </c>
      <c r="X15" s="1"/>
      <c r="Y15" s="6">
        <f>SUM(X15/100*$C15)</f>
        <v>0</v>
      </c>
      <c r="Z15" s="1"/>
      <c r="AA15" s="6">
        <f>SUM(Z15/100*$C15)</f>
        <v>0</v>
      </c>
      <c r="AB15" s="1"/>
      <c r="AC15" s="6">
        <f>SUM(AB15/100*$C15)</f>
        <v>0</v>
      </c>
      <c r="AD15" s="1">
        <v>0</v>
      </c>
      <c r="AE15" s="6">
        <f>SUM(AD15/100*$C15)</f>
        <v>0</v>
      </c>
      <c r="AF15" s="1">
        <v>0</v>
      </c>
      <c r="AG15" s="6">
        <f>SUM(AF15/100*$C15)</f>
        <v>0</v>
      </c>
      <c r="AH15" s="1"/>
      <c r="AI15" s="6">
        <f>SUM(AH15/100*$C15)</f>
        <v>0</v>
      </c>
      <c r="AJ15" s="1"/>
      <c r="AK15" s="6">
        <f>SUM(AJ15/100*$C15)</f>
        <v>0</v>
      </c>
      <c r="AL15" s="1"/>
      <c r="AM15" s="6">
        <f t="shared" si="16"/>
        <v>0</v>
      </c>
      <c r="AN15" s="6">
        <f>+F15+H15+J15+R15+T15+V15+X15+Z15+AD15+AF15+AH15+AJ15+AB15+P15+N15+L15+AL15+D15</f>
        <v>100</v>
      </c>
      <c r="AO15" s="6">
        <f>+G15+I15+K15+S15+U15+W15+Y15+AA15+AE15+AG15+AI15+AK15</f>
        <v>25288.9</v>
      </c>
    </row>
    <row r="16" spans="1:39" ht="12" thickBot="1">
      <c r="A16" s="44"/>
      <c r="C16" s="68"/>
      <c r="E16" s="6"/>
      <c r="F16" s="1"/>
      <c r="G16" s="6"/>
      <c r="H16" s="1"/>
      <c r="I16" s="6"/>
      <c r="J16" s="1"/>
      <c r="K16" s="6"/>
      <c r="M16" s="6"/>
      <c r="N16" s="1"/>
      <c r="O16" s="6"/>
      <c r="P16" s="1"/>
      <c r="Q16" s="6"/>
      <c r="R16" s="1"/>
      <c r="S16" s="6"/>
      <c r="T16" s="1"/>
      <c r="U16" s="6"/>
      <c r="V16" s="1"/>
      <c r="W16" s="6"/>
      <c r="X16" s="1"/>
      <c r="Y16" s="6"/>
      <c r="Z16" s="1"/>
      <c r="AA16" s="6"/>
      <c r="AB16" s="1"/>
      <c r="AC16" s="6"/>
      <c r="AD16" s="1"/>
      <c r="AE16" s="6"/>
      <c r="AF16" s="1"/>
      <c r="AG16" s="6"/>
      <c r="AH16" s="1"/>
      <c r="AI16" s="6"/>
      <c r="AJ16" s="1"/>
      <c r="AK16" s="6"/>
      <c r="AL16" s="1"/>
      <c r="AM16" s="6"/>
    </row>
    <row r="17" spans="1:41" ht="12" thickBot="1">
      <c r="A17" s="22" t="s">
        <v>28</v>
      </c>
      <c r="C17" s="69">
        <f aca="true" t="shared" si="19" ref="C17:S17">SUM(C8:C15)</f>
        <v>315586</v>
      </c>
      <c r="D17" s="2">
        <f t="shared" si="19"/>
        <v>0</v>
      </c>
      <c r="E17" s="40">
        <f t="shared" si="19"/>
        <v>0</v>
      </c>
      <c r="F17" s="2">
        <f t="shared" si="19"/>
        <v>0</v>
      </c>
      <c r="G17" s="40">
        <f t="shared" si="19"/>
        <v>0</v>
      </c>
      <c r="H17" s="2">
        <f t="shared" si="19"/>
        <v>0</v>
      </c>
      <c r="I17" s="40">
        <f t="shared" si="19"/>
        <v>0</v>
      </c>
      <c r="J17" s="2">
        <f t="shared" si="19"/>
        <v>0</v>
      </c>
      <c r="K17" s="40">
        <f t="shared" si="19"/>
        <v>0</v>
      </c>
      <c r="L17" s="2">
        <f t="shared" si="19"/>
        <v>0</v>
      </c>
      <c r="M17" s="40">
        <f t="shared" si="19"/>
        <v>0</v>
      </c>
      <c r="N17" s="2">
        <f t="shared" si="19"/>
        <v>72</v>
      </c>
      <c r="O17" s="40">
        <f t="shared" si="19"/>
        <v>28402.74</v>
      </c>
      <c r="P17" s="2">
        <f t="shared" si="19"/>
        <v>0</v>
      </c>
      <c r="Q17" s="40">
        <f t="shared" si="19"/>
        <v>0</v>
      </c>
      <c r="R17" s="2">
        <f t="shared" si="19"/>
        <v>0</v>
      </c>
      <c r="S17" s="40">
        <f t="shared" si="19"/>
        <v>0</v>
      </c>
      <c r="T17" s="2">
        <f>SUM(T8:T16)</f>
        <v>632</v>
      </c>
      <c r="U17" s="40">
        <f aca="true" t="shared" si="20" ref="U17:AE17">SUM(U8:U15)</f>
        <v>249312.94</v>
      </c>
      <c r="V17" s="2">
        <f t="shared" si="20"/>
        <v>96</v>
      </c>
      <c r="W17" s="40">
        <f t="shared" si="20"/>
        <v>37870.32</v>
      </c>
      <c r="X17" s="2">
        <f t="shared" si="20"/>
        <v>0</v>
      </c>
      <c r="Y17" s="40">
        <f t="shared" si="20"/>
        <v>0</v>
      </c>
      <c r="Z17" s="2">
        <f t="shared" si="20"/>
        <v>0</v>
      </c>
      <c r="AA17" s="40">
        <f t="shared" si="20"/>
        <v>0</v>
      </c>
      <c r="AB17" s="2">
        <f t="shared" si="20"/>
        <v>0</v>
      </c>
      <c r="AC17" s="40">
        <f t="shared" si="20"/>
        <v>0</v>
      </c>
      <c r="AD17" s="2">
        <f t="shared" si="20"/>
        <v>0</v>
      </c>
      <c r="AE17" s="40">
        <f t="shared" si="20"/>
        <v>0</v>
      </c>
      <c r="AF17" s="2">
        <f>SUM(AF8:AF16)</f>
        <v>0</v>
      </c>
      <c r="AG17" s="40">
        <f aca="true" t="shared" si="21" ref="AG17:AO17">SUM(AG8:AG15)</f>
        <v>0</v>
      </c>
      <c r="AH17" s="2">
        <f t="shared" si="21"/>
        <v>0</v>
      </c>
      <c r="AI17" s="40">
        <f t="shared" si="21"/>
        <v>0</v>
      </c>
      <c r="AJ17" s="2">
        <f t="shared" si="21"/>
        <v>0</v>
      </c>
      <c r="AK17" s="40">
        <f t="shared" si="21"/>
        <v>0</v>
      </c>
      <c r="AL17" s="2">
        <f t="shared" si="21"/>
        <v>0</v>
      </c>
      <c r="AM17" s="40">
        <f t="shared" si="21"/>
        <v>0</v>
      </c>
      <c r="AN17" s="2">
        <f t="shared" si="21"/>
        <v>800</v>
      </c>
      <c r="AO17" s="23">
        <f t="shared" si="21"/>
        <v>287183.26</v>
      </c>
    </row>
    <row r="18" spans="1:40" ht="14.25" thickBot="1">
      <c r="A18" s="22" t="s">
        <v>29</v>
      </c>
      <c r="C18" s="58">
        <f>B26</f>
        <v>467339.4000000002</v>
      </c>
      <c r="D18" s="3">
        <f>SUM(E17/$C17)*$C18</f>
        <v>0</v>
      </c>
      <c r="E18" s="41"/>
      <c r="F18" s="3">
        <f>SUM(G17/$C17)*$C18</f>
        <v>0</v>
      </c>
      <c r="G18" s="41"/>
      <c r="H18" s="3">
        <f>SUM(I17/$C17)*$C18</f>
        <v>0</v>
      </c>
      <c r="I18" s="41"/>
      <c r="J18" s="3">
        <f>SUM(K17/$C17)*$C18</f>
        <v>0</v>
      </c>
      <c r="K18" s="41"/>
      <c r="L18" s="3">
        <f>SUM(M17/$C17)*$C18</f>
        <v>0</v>
      </c>
      <c r="M18" s="41"/>
      <c r="N18" s="3">
        <f>SUM(O17/$C17)*$C18</f>
        <v>42060.546000000024</v>
      </c>
      <c r="O18" s="41"/>
      <c r="P18" s="3">
        <f>SUM(Q17/$C17)*$C18</f>
        <v>0</v>
      </c>
      <c r="Q18" s="41"/>
      <c r="R18" s="3">
        <f>SUM(S17/$C17)*$C18</f>
        <v>0</v>
      </c>
      <c r="S18" s="41"/>
      <c r="T18" s="3">
        <f>SUM(U17/$C17)*$C18</f>
        <v>369198.12600000016</v>
      </c>
      <c r="U18" s="41"/>
      <c r="V18" s="3">
        <f>SUM(W17/$C17)*$C18</f>
        <v>56080.728000000025</v>
      </c>
      <c r="W18" s="41"/>
      <c r="X18" s="3">
        <f>SUM(Y17/$C17)*$C18</f>
        <v>0</v>
      </c>
      <c r="Y18" s="41"/>
      <c r="Z18" s="3">
        <f>SUM(AA17/$C17)*$C18</f>
        <v>0</v>
      </c>
      <c r="AA18" s="41"/>
      <c r="AB18" s="3">
        <f>SUM(AC17/$C17)*$C18</f>
        <v>0</v>
      </c>
      <c r="AC18" s="41"/>
      <c r="AD18" s="3">
        <f>SUM(AE17/$C17)*$C18</f>
        <v>0</v>
      </c>
      <c r="AE18" s="41"/>
      <c r="AF18" s="3">
        <f>SUM(AG17/$C17)*$C18</f>
        <v>0</v>
      </c>
      <c r="AG18" s="41"/>
      <c r="AH18" s="3">
        <f>SUM(AI17/$C17)*$C18</f>
        <v>0</v>
      </c>
      <c r="AI18" s="41"/>
      <c r="AJ18" s="3">
        <f>SUM(AK17/$C17)*$C18</f>
        <v>0</v>
      </c>
      <c r="AK18" s="41"/>
      <c r="AL18" s="3">
        <f>SUM(AM17/$C17)*$C18</f>
        <v>0</v>
      </c>
      <c r="AM18" s="41"/>
      <c r="AN18" s="24">
        <f>SUM(D18:AL18)</f>
        <v>467339.4000000002</v>
      </c>
    </row>
    <row r="19" spans="3:39" ht="6.75" customHeight="1" thickTop="1">
      <c r="C19" s="29"/>
      <c r="F19" s="1"/>
      <c r="G19" s="39"/>
      <c r="H19" s="1"/>
      <c r="I19" s="39"/>
      <c r="J19" s="1"/>
      <c r="K19" s="39"/>
      <c r="L19" s="1"/>
      <c r="M19" s="39"/>
      <c r="N19" s="1"/>
      <c r="O19" s="39"/>
      <c r="P19" s="1"/>
      <c r="Q19" s="39"/>
      <c r="R19" s="1"/>
      <c r="S19" s="39"/>
      <c r="T19" s="1"/>
      <c r="U19" s="39"/>
      <c r="V19" s="1"/>
      <c r="W19" s="39"/>
      <c r="X19" s="1"/>
      <c r="Y19" s="39"/>
      <c r="Z19" s="1"/>
      <c r="AA19" s="39"/>
      <c r="AB19" s="1"/>
      <c r="AC19" s="39"/>
      <c r="AD19" s="1"/>
      <c r="AE19" s="39"/>
      <c r="AF19" s="1"/>
      <c r="AG19" s="39"/>
      <c r="AH19" s="1"/>
      <c r="AI19" s="39"/>
      <c r="AJ19" s="1"/>
      <c r="AK19" s="39"/>
      <c r="AL19" s="1"/>
      <c r="AM19" s="39"/>
    </row>
    <row r="20" spans="3:39" ht="17.25" customHeight="1">
      <c r="C20" s="29"/>
      <c r="F20" s="1"/>
      <c r="G20" s="39"/>
      <c r="H20" s="1"/>
      <c r="I20" s="39"/>
      <c r="J20" s="1"/>
      <c r="K20" s="39"/>
      <c r="L20" s="1"/>
      <c r="M20" s="39"/>
      <c r="N20" s="1">
        <f>N18/C18</f>
        <v>0.09000000000000001</v>
      </c>
      <c r="O20" s="39"/>
      <c r="P20" s="1"/>
      <c r="Q20" s="39"/>
      <c r="R20" s="1"/>
      <c r="S20" s="39"/>
      <c r="T20" s="1">
        <f>T18/C18</f>
        <v>0.79</v>
      </c>
      <c r="U20" s="39"/>
      <c r="V20" s="1">
        <f>V18/C18</f>
        <v>0.12</v>
      </c>
      <c r="W20" s="39"/>
      <c r="X20" s="1"/>
      <c r="Y20" s="39"/>
      <c r="Z20" s="1"/>
      <c r="AA20" s="39"/>
      <c r="AB20" s="1"/>
      <c r="AC20" s="39"/>
      <c r="AD20" s="1"/>
      <c r="AE20" s="39"/>
      <c r="AF20" s="1"/>
      <c r="AG20" s="39"/>
      <c r="AH20" s="1"/>
      <c r="AI20" s="39"/>
      <c r="AJ20" s="1"/>
      <c r="AK20" s="39"/>
      <c r="AL20" s="1"/>
      <c r="AM20" s="39"/>
    </row>
    <row r="21" ht="11.25">
      <c r="L21" s="25"/>
    </row>
    <row r="24" ht="12" thickBot="1"/>
    <row r="25" spans="1:10" ht="11.25">
      <c r="A25" s="34" t="s">
        <v>62</v>
      </c>
      <c r="B25" s="32"/>
      <c r="C25" s="32"/>
      <c r="D25" s="33"/>
      <c r="E25" s="43"/>
      <c r="H25" s="31">
        <f>AN18</f>
        <v>467339.4000000002</v>
      </c>
      <c r="J25" s="31" t="s">
        <v>58</v>
      </c>
    </row>
    <row r="26" spans="1:10" ht="11.25">
      <c r="A26" s="35" t="s">
        <v>55</v>
      </c>
      <c r="B26" s="59">
        <f>'[1]Actuals 2013-14'!C41+'[2]Estimate 2013-14'!$B$26</f>
        <v>467339.4000000002</v>
      </c>
      <c r="H26" s="31">
        <f>B26-H25</f>
        <v>0</v>
      </c>
      <c r="J26" s="31" t="s">
        <v>59</v>
      </c>
    </row>
    <row r="27" spans="1:4" ht="11.25">
      <c r="A27" s="35" t="s">
        <v>56</v>
      </c>
      <c r="B27" s="59">
        <f>'[1]Actuals 2013-14'!C52+'[2]Estimate 2013-14'!$B$27</f>
        <v>23858.27</v>
      </c>
      <c r="D27" s="26" t="s">
        <v>38</v>
      </c>
    </row>
    <row r="28" spans="1:4" ht="11.25">
      <c r="A28" s="35" t="s">
        <v>57</v>
      </c>
      <c r="B28" s="59">
        <f>'[1]Actuals 2013-14'!C61+'[2]Estimate 2013-14'!$B$28</f>
        <v>6502.25</v>
      </c>
      <c r="D28" s="26" t="s">
        <v>38</v>
      </c>
    </row>
    <row r="29" spans="1:2" ht="11.25">
      <c r="A29" s="34"/>
      <c r="B29" s="5"/>
    </row>
    <row r="30" spans="1:5" ht="12" thickBot="1">
      <c r="A30" s="36"/>
      <c r="B30" s="27">
        <f>SUM(B26:B29)</f>
        <v>497699.9200000002</v>
      </c>
      <c r="D30" s="16"/>
      <c r="E30" s="3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56" r:id="rId1"/>
  <headerFooter alignWithMargins="0">
    <oddHeader>&amp;C&amp;F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zoomScalePageLayoutView="0" workbookViewId="0" topLeftCell="A1">
      <selection activeCell="B45" sqref="B45"/>
    </sheetView>
  </sheetViews>
  <sheetFormatPr defaultColWidth="9.140625" defaultRowHeight="12.75"/>
  <cols>
    <col min="2" max="2" width="33.57421875" style="0" bestFit="1" customWidth="1"/>
    <col min="3" max="3" width="10.140625" style="28" bestFit="1" customWidth="1"/>
    <col min="4" max="4" width="2.140625" style="0" customWidth="1"/>
    <col min="6" max="6" width="27.28125" style="0" bestFit="1" customWidth="1"/>
    <col min="7" max="7" width="11.7109375" style="0" bestFit="1" customWidth="1"/>
  </cols>
  <sheetData>
    <row r="2" spans="1:6" ht="12.75">
      <c r="A2" s="45" t="s">
        <v>196</v>
      </c>
      <c r="F2" s="45" t="s">
        <v>69</v>
      </c>
    </row>
    <row r="3" spans="6:8" ht="12.75">
      <c r="F3" s="46" t="s">
        <v>70</v>
      </c>
      <c r="G3" s="47"/>
      <c r="H3" s="47"/>
    </row>
    <row r="4" spans="2:7" ht="12.75">
      <c r="B4" t="s">
        <v>71</v>
      </c>
      <c r="C4" s="28">
        <f>'[2]Estimate 2013-14'!B27+'[1]Estimate 2013-14'!$B$27</f>
        <v>23858.27</v>
      </c>
      <c r="F4" t="s">
        <v>71</v>
      </c>
      <c r="G4" s="28">
        <f>C4</f>
        <v>23858.27</v>
      </c>
    </row>
    <row r="5" spans="2:7" ht="12.75">
      <c r="B5" t="s">
        <v>72</v>
      </c>
      <c r="C5" s="101">
        <f>'[2]Estimate 2013-14'!T18+'[1]Estimate 2013-14'!$T$18</f>
        <v>369198.12600000016</v>
      </c>
      <c r="F5" t="s">
        <v>72</v>
      </c>
      <c r="G5" s="28">
        <f>C5</f>
        <v>369198.12600000016</v>
      </c>
    </row>
    <row r="6" spans="2:7" ht="13.5" thickBot="1">
      <c r="B6" t="s">
        <v>73</v>
      </c>
      <c r="C6" s="48">
        <f>SUM(C4:C5)</f>
        <v>393056.3960000002</v>
      </c>
      <c r="D6" s="49"/>
      <c r="E6" s="49"/>
      <c r="F6" s="49" t="s">
        <v>73</v>
      </c>
      <c r="G6" s="48">
        <f>SUM(G4:G5)</f>
        <v>393056.3960000002</v>
      </c>
    </row>
    <row r="7" spans="2:7" ht="13.5" thickTop="1">
      <c r="B7" t="s">
        <v>197</v>
      </c>
      <c r="C7" s="54">
        <f>-C6</f>
        <v>-393056.3960000002</v>
      </c>
      <c r="F7" t="s">
        <v>74</v>
      </c>
      <c r="G7" s="50">
        <f>-'[2]Income 2013-14'!B17</f>
        <v>320241.37</v>
      </c>
    </row>
    <row r="8" spans="6:7" ht="12.75">
      <c r="F8" s="51" t="s">
        <v>75</v>
      </c>
      <c r="G8" s="52">
        <f>G7-G6</f>
        <v>-72815.02600000019</v>
      </c>
    </row>
    <row r="10" ht="12.75">
      <c r="A10" s="53"/>
    </row>
    <row r="12" ht="12.75">
      <c r="C12" s="54"/>
    </row>
  </sheetData>
  <sheetProtection/>
  <printOptions gridLines="1"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Jodie Penfold</dc:creator>
  <cp:keywords/>
  <dc:description/>
  <cp:lastModifiedBy>Joanna Softly</cp:lastModifiedBy>
  <cp:lastPrinted>2012-05-14T10:44:55Z</cp:lastPrinted>
  <dcterms:created xsi:type="dcterms:W3CDTF">1997-11-18T11:14:45Z</dcterms:created>
  <dcterms:modified xsi:type="dcterms:W3CDTF">2015-02-04T15:42:58Z</dcterms:modified>
  <cp:category/>
  <cp:version/>
  <cp:contentType/>
  <cp:contentStatus/>
</cp:coreProperties>
</file>